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10\department$\Spare Parts\Parts Department\RAMP &amp; Maintenance Schedules\Updated Ramps\"/>
    </mc:Choice>
  </mc:AlternateContent>
  <xr:revisionPtr revIDLastSave="0" documentId="13_ncr:1_{02FBB098-6C0F-4D2C-A46E-F6E3CBA81F9A}" xr6:coauthVersionLast="44" xr6:coauthVersionMax="44" xr10:uidLastSave="{00000000-0000-0000-0000-000000000000}"/>
  <bookViews>
    <workbookView xWindow="22932" yWindow="-108" windowWidth="23256" windowHeight="12576" activeTab="1" xr2:uid="{00000000-000D-0000-FFFF-FFFF00000000}"/>
  </bookViews>
  <sheets>
    <sheet name="cover sheet" sheetId="2" r:id="rId1"/>
    <sheet name="821M T4F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9" i="1" l="1"/>
  <c r="B23" i="2" l="1"/>
  <c r="I5" i="1" s="1"/>
  <c r="E139" i="1" l="1"/>
  <c r="E137" i="1"/>
  <c r="E136" i="1"/>
  <c r="E138" i="1"/>
  <c r="E135" i="1"/>
  <c r="S102" i="1"/>
  <c r="R101" i="1"/>
  <c r="Q97" i="1"/>
  <c r="S111" i="1"/>
  <c r="S110" i="1"/>
  <c r="S109" i="1"/>
  <c r="M144" i="1"/>
  <c r="X8" i="1"/>
  <c r="G143" i="1"/>
  <c r="H14" i="2"/>
  <c r="H12" i="2"/>
  <c r="I6" i="1"/>
  <c r="I4" i="1"/>
  <c r="K54" i="2" l="1"/>
  <c r="I54" i="2"/>
  <c r="I51" i="2"/>
  <c r="J50" i="2"/>
  <c r="J51" i="2" l="1"/>
  <c r="I52" i="2"/>
  <c r="I53" i="2" s="1"/>
  <c r="G129" i="1"/>
  <c r="G128" i="1"/>
  <c r="G127" i="1"/>
  <c r="J52" i="2" l="1"/>
  <c r="J53" i="2" s="1"/>
  <c r="J54" i="2" s="1"/>
  <c r="N128" i="1"/>
  <c r="N143" i="1" l="1"/>
  <c r="M143" i="1"/>
  <c r="L143" i="1"/>
  <c r="K143" i="1"/>
  <c r="J143" i="1"/>
  <c r="I143" i="1"/>
  <c r="G139" i="1"/>
  <c r="L139" i="1" s="1"/>
  <c r="G138" i="1"/>
  <c r="K138" i="1" s="1"/>
  <c r="G137" i="1"/>
  <c r="I137" i="1" s="1"/>
  <c r="G136" i="1"/>
  <c r="K136" i="1" s="1"/>
  <c r="G135" i="1"/>
  <c r="M135" i="1" s="1"/>
  <c r="G134" i="1"/>
  <c r="M134" i="1" s="1"/>
  <c r="N141" i="1"/>
  <c r="N146" i="1" s="1"/>
  <c r="G133" i="1"/>
  <c r="K133" i="1" s="1"/>
  <c r="G132" i="1"/>
  <c r="K132" i="1" s="1"/>
  <c r="G131" i="1"/>
  <c r="K131" i="1" s="1"/>
  <c r="G130" i="1"/>
  <c r="K130" i="1" s="1"/>
  <c r="L127" i="1"/>
  <c r="G126" i="1"/>
  <c r="L126" i="1" s="1"/>
  <c r="G125" i="1"/>
  <c r="J125" i="1" s="1"/>
  <c r="G124" i="1"/>
  <c r="G123" i="1"/>
  <c r="J123" i="1" s="1"/>
  <c r="G122" i="1"/>
  <c r="I122" i="1" s="1"/>
  <c r="G121" i="1"/>
  <c r="K121" i="1" s="1"/>
  <c r="G120" i="1"/>
  <c r="I120" i="1" s="1"/>
  <c r="G119" i="1"/>
  <c r="L119" i="1" s="1"/>
  <c r="X68" i="1"/>
  <c r="Z68" i="1" s="1"/>
  <c r="P11" i="1"/>
  <c r="M141" i="1" l="1"/>
  <c r="M146" i="1" s="1"/>
  <c r="S90" i="1"/>
  <c r="T90" i="1" s="1"/>
  <c r="S91" i="1"/>
  <c r="T91" i="1" s="1"/>
  <c r="K141" i="1"/>
  <c r="K146" i="1" s="1"/>
  <c r="K147" i="1" s="1"/>
  <c r="I119" i="1"/>
  <c r="I127" i="1"/>
  <c r="J137" i="1"/>
  <c r="I138" i="1"/>
  <c r="I136" i="1"/>
  <c r="N147" i="1"/>
  <c r="T115" i="1"/>
  <c r="S93" i="1"/>
  <c r="S92" i="1"/>
  <c r="S89" i="1"/>
  <c r="S88" i="1"/>
  <c r="S87" i="1"/>
  <c r="S86" i="1"/>
  <c r="S85" i="1"/>
  <c r="S84" i="1"/>
  <c r="S81" i="1"/>
  <c r="S80" i="1"/>
  <c r="S77" i="1"/>
  <c r="S76" i="1"/>
  <c r="S75" i="1"/>
  <c r="S74" i="1"/>
  <c r="S73" i="1"/>
  <c r="S72" i="1"/>
  <c r="S71" i="1"/>
  <c r="S70" i="1"/>
  <c r="S69" i="1"/>
  <c r="S66" i="1"/>
  <c r="S65" i="1"/>
  <c r="S64" i="1"/>
  <c r="S63" i="1"/>
  <c r="S62" i="1"/>
  <c r="S61" i="1"/>
  <c r="M147" i="1"/>
  <c r="S101" i="1"/>
  <c r="S103" i="1" s="1"/>
  <c r="T103" i="1" s="1"/>
  <c r="S60" i="1"/>
  <c r="S57" i="1"/>
  <c r="S56" i="1"/>
  <c r="S55" i="1"/>
  <c r="S54" i="1"/>
  <c r="S53" i="1"/>
  <c r="S52" i="1"/>
  <c r="S51" i="1"/>
  <c r="S12" i="1"/>
  <c r="S13" i="1"/>
  <c r="S14" i="1"/>
  <c r="S15" i="1"/>
  <c r="S16" i="1"/>
  <c r="S17" i="1"/>
  <c r="S18" i="1"/>
  <c r="S19" i="1"/>
  <c r="S20" i="1"/>
  <c r="S21" i="1"/>
  <c r="S22" i="1"/>
  <c r="S25" i="1"/>
  <c r="S26" i="1"/>
  <c r="S27" i="1"/>
  <c r="S28" i="1"/>
  <c r="S29" i="1"/>
  <c r="S30" i="1"/>
  <c r="S33" i="1"/>
  <c r="S34" i="1"/>
  <c r="S35" i="1"/>
  <c r="S36" i="1"/>
  <c r="S37" i="1"/>
  <c r="S38" i="1"/>
  <c r="S39" i="1"/>
  <c r="S40" i="1"/>
  <c r="S41" i="1"/>
  <c r="S42" i="1"/>
  <c r="S45" i="1"/>
  <c r="S47" i="1"/>
  <c r="S48" i="1"/>
  <c r="S49" i="1"/>
  <c r="S50" i="1"/>
  <c r="L120" i="1"/>
  <c r="L122" i="1"/>
  <c r="J124" i="1"/>
  <c r="J141" i="1" l="1"/>
  <c r="J146" i="1" s="1"/>
  <c r="J147" i="1" s="1"/>
  <c r="I141" i="1"/>
  <c r="I146" i="1" s="1"/>
  <c r="I147" i="1" s="1"/>
  <c r="L141" i="1"/>
  <c r="L146" i="1" s="1"/>
  <c r="L147" i="1" s="1"/>
  <c r="T50" i="1"/>
  <c r="X50" i="1"/>
  <c r="T48" i="1"/>
  <c r="X48" i="1"/>
  <c r="T45" i="1"/>
  <c r="X45" i="1"/>
  <c r="T41" i="1"/>
  <c r="X41" i="1"/>
  <c r="T39" i="1"/>
  <c r="X39" i="1"/>
  <c r="T37" i="1"/>
  <c r="X37" i="1"/>
  <c r="T35" i="1"/>
  <c r="X35" i="1"/>
  <c r="T33" i="1"/>
  <c r="X33" i="1"/>
  <c r="T29" i="1"/>
  <c r="X29" i="1"/>
  <c r="T27" i="1"/>
  <c r="X27" i="1"/>
  <c r="T25" i="1"/>
  <c r="X25" i="1"/>
  <c r="T21" i="1"/>
  <c r="X21" i="1"/>
  <c r="T19" i="1"/>
  <c r="X19" i="1"/>
  <c r="T17" i="1"/>
  <c r="X17" i="1"/>
  <c r="T15" i="1"/>
  <c r="X15" i="1"/>
  <c r="T13" i="1"/>
  <c r="X13" i="1"/>
  <c r="T52" i="1"/>
  <c r="X52" i="1"/>
  <c r="T54" i="1"/>
  <c r="X54" i="1"/>
  <c r="T56" i="1"/>
  <c r="X56" i="1"/>
  <c r="X60" i="1"/>
  <c r="T60" i="1"/>
  <c r="X62" i="1"/>
  <c r="T62" i="1"/>
  <c r="X64" i="1"/>
  <c r="T64" i="1"/>
  <c r="X66" i="1"/>
  <c r="T66" i="1"/>
  <c r="X70" i="1"/>
  <c r="T70" i="1"/>
  <c r="X72" i="1"/>
  <c r="T72" i="1"/>
  <c r="X74" i="1"/>
  <c r="T74" i="1"/>
  <c r="X76" i="1"/>
  <c r="T76" i="1"/>
  <c r="X80" i="1"/>
  <c r="T80" i="1"/>
  <c r="X84" i="1"/>
  <c r="T84" i="1"/>
  <c r="X86" i="1"/>
  <c r="T86" i="1"/>
  <c r="X88" i="1"/>
  <c r="T88" i="1"/>
  <c r="X92" i="1"/>
  <c r="T92" i="1"/>
  <c r="T49" i="1"/>
  <c r="X49" i="1"/>
  <c r="T47" i="1"/>
  <c r="X47" i="1"/>
  <c r="T42" i="1"/>
  <c r="X42" i="1"/>
  <c r="T40" i="1"/>
  <c r="X40" i="1"/>
  <c r="T38" i="1"/>
  <c r="X38" i="1"/>
  <c r="T36" i="1"/>
  <c r="X36" i="1"/>
  <c r="T34" i="1"/>
  <c r="X34" i="1"/>
  <c r="T30" i="1"/>
  <c r="X30" i="1"/>
  <c r="T28" i="1"/>
  <c r="X28" i="1"/>
  <c r="T26" i="1"/>
  <c r="X26" i="1"/>
  <c r="T22" i="1"/>
  <c r="X22" i="1"/>
  <c r="T20" i="1"/>
  <c r="X20" i="1"/>
  <c r="T18" i="1"/>
  <c r="X18" i="1"/>
  <c r="T16" i="1"/>
  <c r="X16" i="1"/>
  <c r="T14" i="1"/>
  <c r="X14" i="1"/>
  <c r="T12" i="1"/>
  <c r="X12" i="1"/>
  <c r="T51" i="1"/>
  <c r="X51" i="1"/>
  <c r="T53" i="1"/>
  <c r="X53" i="1"/>
  <c r="T55" i="1"/>
  <c r="X55" i="1"/>
  <c r="T57" i="1"/>
  <c r="X57" i="1"/>
  <c r="X61" i="1"/>
  <c r="T61" i="1"/>
  <c r="X63" i="1"/>
  <c r="T63" i="1"/>
  <c r="X65" i="1"/>
  <c r="T65" i="1"/>
  <c r="X69" i="1"/>
  <c r="T69" i="1"/>
  <c r="X71" i="1"/>
  <c r="T71" i="1"/>
  <c r="X73" i="1"/>
  <c r="T73" i="1"/>
  <c r="X75" i="1"/>
  <c r="T75" i="1"/>
  <c r="X77" i="1"/>
  <c r="T77" i="1"/>
  <c r="X81" i="1"/>
  <c r="T81" i="1"/>
  <c r="X85" i="1"/>
  <c r="T85" i="1"/>
  <c r="X87" i="1"/>
  <c r="T87" i="1"/>
  <c r="X89" i="1"/>
  <c r="T89" i="1"/>
  <c r="X93" i="1"/>
  <c r="T93" i="1"/>
  <c r="X95" i="1" l="1"/>
  <c r="T95" i="1"/>
  <c r="T97" i="1" s="1"/>
  <c r="S148" i="1"/>
  <c r="Z80" i="1"/>
  <c r="Z92" i="1"/>
  <c r="Z74" i="1"/>
  <c r="Z66" i="1"/>
  <c r="Z60" i="1"/>
  <c r="Z86" i="1"/>
  <c r="Z76" i="1"/>
  <c r="Z70" i="1"/>
  <c r="Z62" i="1"/>
  <c r="Z88" i="1"/>
  <c r="Z72" i="1"/>
  <c r="Z64" i="1"/>
  <c r="Z84" i="1"/>
  <c r="T94" i="1"/>
  <c r="Z93" i="1"/>
  <c r="Z89" i="1"/>
  <c r="Z87" i="1"/>
  <c r="Z85" i="1"/>
  <c r="Z81" i="1"/>
  <c r="Z77" i="1"/>
  <c r="Z75" i="1"/>
  <c r="Z73" i="1"/>
  <c r="Z71" i="1"/>
  <c r="Z69" i="1"/>
  <c r="Z65" i="1"/>
  <c r="Z63" i="1"/>
  <c r="Z61" i="1"/>
  <c r="Z57" i="1"/>
  <c r="Z55" i="1"/>
  <c r="Z53" i="1"/>
  <c r="Z51" i="1"/>
  <c r="X94" i="1"/>
  <c r="Z12" i="1"/>
  <c r="T98" i="1"/>
  <c r="Z14" i="1"/>
  <c r="Z16" i="1"/>
  <c r="Z18" i="1"/>
  <c r="Z20" i="1"/>
  <c r="Z22" i="1"/>
  <c r="Z26" i="1"/>
  <c r="Z28" i="1"/>
  <c r="Z30" i="1"/>
  <c r="Z34" i="1"/>
  <c r="Z36" i="1"/>
  <c r="Z38" i="1"/>
  <c r="Z40" i="1"/>
  <c r="Z42" i="1"/>
  <c r="Z47" i="1"/>
  <c r="Z49" i="1"/>
  <c r="Z56" i="1"/>
  <c r="Z54" i="1"/>
  <c r="Z52" i="1"/>
  <c r="Z13" i="1"/>
  <c r="Z15" i="1"/>
  <c r="Z17" i="1"/>
  <c r="Z19" i="1"/>
  <c r="Z21" i="1"/>
  <c r="Z25" i="1"/>
  <c r="Z27" i="1"/>
  <c r="Z29" i="1"/>
  <c r="Z33" i="1"/>
  <c r="Z35" i="1"/>
  <c r="Z37" i="1"/>
  <c r="Z39" i="1"/>
  <c r="Z41" i="1"/>
  <c r="Z45" i="1"/>
  <c r="Z48" i="1"/>
  <c r="Z50" i="1"/>
  <c r="T99" i="1" l="1"/>
  <c r="Z94" i="1"/>
  <c r="Z95" i="1" s="1"/>
  <c r="T104" i="1" l="1"/>
  <c r="T108" i="1" s="1"/>
  <c r="T109" i="1" s="1"/>
  <c r="T110" i="1" s="1"/>
  <c r="T111" i="1" s="1"/>
  <c r="U103" i="1"/>
  <c r="T113" i="1" l="1"/>
  <c r="J46" i="2"/>
  <c r="T116" i="1" l="1"/>
  <c r="J55" i="2"/>
  <c r="J43" i="2" s="1"/>
</calcChain>
</file>

<file path=xl/sharedStrings.xml><?xml version="1.0" encoding="utf-8"?>
<sst xmlns="http://schemas.openxmlformats.org/spreadsheetml/2006/main" count="316" uniqueCount="259">
  <si>
    <t>Auto+Hide+values+Formulas=Sheet50,Sheet4,Sheet5</t>
  </si>
  <si>
    <t/>
  </si>
  <si>
    <t>MONTHS</t>
  </si>
  <si>
    <t>HRS. PER MONTH</t>
  </si>
  <si>
    <t>DEALER</t>
  </si>
  <si>
    <t>TOTAL HOURS</t>
  </si>
  <si>
    <t>LABOR</t>
  </si>
  <si>
    <t>RATE</t>
  </si>
  <si>
    <t>Repair Schedule</t>
  </si>
  <si>
    <t>LIFE</t>
  </si>
  <si>
    <t>RETAIL</t>
  </si>
  <si>
    <t xml:space="preserve">    WHOLE UNITS</t>
  </si>
  <si>
    <t>R &amp; R</t>
  </si>
  <si>
    <t>PARTS &amp;</t>
  </si>
  <si>
    <t>Part Number</t>
  </si>
  <si>
    <t>COMPONENT</t>
  </si>
  <si>
    <t>QTY</t>
  </si>
  <si>
    <t>HOURS</t>
  </si>
  <si>
    <t>PRICE</t>
  </si>
  <si>
    <t>NO</t>
  </si>
  <si>
    <t>AMOUNT</t>
  </si>
  <si>
    <t>HR PER</t>
  </si>
  <si>
    <t>COST</t>
  </si>
  <si>
    <t>Major Components</t>
  </si>
  <si>
    <t>EVENT</t>
  </si>
  <si>
    <t>PER JOB</t>
  </si>
  <si>
    <t>Upper Carriage Frame</t>
  </si>
  <si>
    <t>Front Axle Assembly</t>
  </si>
  <si>
    <t>Rear Axle Assembly</t>
  </si>
  <si>
    <t>ENGINE (Cummins QSB 4.5)</t>
  </si>
  <si>
    <t>TRAVEL MOTOR</t>
  </si>
  <si>
    <t>Reseal axle planetaries</t>
  </si>
  <si>
    <t>141474</t>
  </si>
  <si>
    <t>Swing Gear Motor</t>
  </si>
  <si>
    <t>162717</t>
  </si>
  <si>
    <t xml:space="preserve">Swing gear box </t>
  </si>
  <si>
    <t>127079</t>
  </si>
  <si>
    <t>Swing bearing</t>
  </si>
  <si>
    <t>161059</t>
  </si>
  <si>
    <t>Comb Cooler</t>
  </si>
  <si>
    <t>091895</t>
  </si>
  <si>
    <t>Transmission</t>
  </si>
  <si>
    <t>4996707</t>
  </si>
  <si>
    <t>STARTER</t>
  </si>
  <si>
    <t>TURBOCHARGER</t>
  </si>
  <si>
    <t>INJECTOR (Each)</t>
  </si>
  <si>
    <t>4989266NX</t>
  </si>
  <si>
    <t>INJECTION PUMP</t>
  </si>
  <si>
    <t>ALTERNATOR</t>
  </si>
  <si>
    <t>WATER PUMP KIT</t>
  </si>
  <si>
    <t>Hydraulics Pumps, Motors &amp; Valves</t>
  </si>
  <si>
    <t>167693</t>
  </si>
  <si>
    <t>Main hydraulic pump</t>
  </si>
  <si>
    <t>Main control valve</t>
  </si>
  <si>
    <t>118748</t>
  </si>
  <si>
    <t>Combo cooler Fan Motor</t>
  </si>
  <si>
    <t>039159</t>
  </si>
  <si>
    <t>Swivel-reseal</t>
  </si>
  <si>
    <t>pump flex coupling</t>
  </si>
  <si>
    <t>Reversing fan pump</t>
  </si>
  <si>
    <t>180413</t>
  </si>
  <si>
    <t>Gear pump pilot/brake</t>
  </si>
  <si>
    <t>Right joystick</t>
  </si>
  <si>
    <t>Left Joystick</t>
  </si>
  <si>
    <t>048169</t>
  </si>
  <si>
    <t>Brake valve</t>
  </si>
  <si>
    <t>175972</t>
  </si>
  <si>
    <t>Auto Lube pump</t>
  </si>
  <si>
    <t xml:space="preserve">Hydraulic Cylinders </t>
  </si>
  <si>
    <t>Boom cylinder</t>
  </si>
  <si>
    <t>172179</t>
  </si>
  <si>
    <t>Repack Cylinder</t>
  </si>
  <si>
    <t>167761</t>
  </si>
  <si>
    <t>Stick cylinder</t>
  </si>
  <si>
    <t>172186</t>
  </si>
  <si>
    <t>102738</t>
  </si>
  <si>
    <t>Outrigger cylinder</t>
  </si>
  <si>
    <t>083648</t>
  </si>
  <si>
    <t>159159</t>
  </si>
  <si>
    <t>Cab raise cylinder</t>
  </si>
  <si>
    <t>148959</t>
  </si>
  <si>
    <t>158448</t>
  </si>
  <si>
    <t>Steer cylinder</t>
  </si>
  <si>
    <t>086526</t>
  </si>
  <si>
    <t>Float axle cylinder</t>
  </si>
  <si>
    <t>081999</t>
  </si>
  <si>
    <t>Repack float axle cyl</t>
  </si>
  <si>
    <t>Electrical</t>
  </si>
  <si>
    <t>X1 harness</t>
  </si>
  <si>
    <t>X2 harness</t>
  </si>
  <si>
    <t>166760</t>
  </si>
  <si>
    <t>X2 extension</t>
  </si>
  <si>
    <t>X3 harness</t>
  </si>
  <si>
    <t>166761</t>
  </si>
  <si>
    <t>X3 extension</t>
  </si>
  <si>
    <t>X3.2 harness</t>
  </si>
  <si>
    <t>X6 harness</t>
  </si>
  <si>
    <t>Boom Pins &amp; Bushings</t>
  </si>
  <si>
    <t>167879</t>
  </si>
  <si>
    <t>Boom cyl top pin</t>
  </si>
  <si>
    <t>129087</t>
  </si>
  <si>
    <t>Boom base bushing</t>
  </si>
  <si>
    <t>073100</t>
  </si>
  <si>
    <t>Boom end pin</t>
  </si>
  <si>
    <t>046405</t>
  </si>
  <si>
    <t>Boom bush</t>
  </si>
  <si>
    <t>129449</t>
  </si>
  <si>
    <t>Stick cyl base pin</t>
  </si>
  <si>
    <t>131238</t>
  </si>
  <si>
    <t>Stick pivot pin</t>
  </si>
  <si>
    <t>Stick cyl top pin</t>
  </si>
  <si>
    <t>022879</t>
  </si>
  <si>
    <t>Stick end bushing</t>
  </si>
  <si>
    <t>126868</t>
  </si>
  <si>
    <t>Stick end pin</t>
  </si>
  <si>
    <t>A/C</t>
  </si>
  <si>
    <t>162441</t>
  </si>
  <si>
    <t>Compressor</t>
  </si>
  <si>
    <t>105707</t>
  </si>
  <si>
    <t>Dryer</t>
  </si>
  <si>
    <t>Magnet system</t>
  </si>
  <si>
    <t>DMG2310</t>
  </si>
  <si>
    <t>Generator</t>
  </si>
  <si>
    <t>59672-003</t>
  </si>
  <si>
    <t>Controller-contactors drop</t>
  </si>
  <si>
    <t>59672-007</t>
  </si>
  <si>
    <t>Controller-contactors lift</t>
  </si>
  <si>
    <t>4292-002-301</t>
  </si>
  <si>
    <t>Controller complete</t>
  </si>
  <si>
    <t>286101</t>
  </si>
  <si>
    <t>Brushes for Generator (set)</t>
  </si>
  <si>
    <t>15031-1SP</t>
  </si>
  <si>
    <t>Spring</t>
  </si>
  <si>
    <t>167601</t>
  </si>
  <si>
    <t>Hyd motor</t>
  </si>
  <si>
    <t xml:space="preserve">PER HOUR </t>
  </si>
  <si>
    <t>MISC. HOSES, FITTINGS, SEALS, ELEC. PARTS, ETC</t>
  </si>
  <si>
    <t>PM Service</t>
  </si>
  <si>
    <t>IF CONTRACT TO INCLUDE TRAVEL TO/FROM SITE, THEN:</t>
  </si>
  <si>
    <t>TOTAL ROUND TRIPS (PM plus repair)</t>
  </si>
  <si>
    <t>TRAVEL COST PER TRIP (labor &amp; mileage)</t>
  </si>
  <si>
    <t>TOTAL TRAVEL COST PER CONTRACT</t>
  </si>
  <si>
    <t>TOTAL</t>
  </si>
  <si>
    <t>=</t>
  </si>
  <si>
    <t>Adj.Rates @2% Increase per year</t>
  </si>
  <si>
    <t>year 1</t>
  </si>
  <si>
    <t>year 2</t>
  </si>
  <si>
    <t>year 3</t>
  </si>
  <si>
    <t>year 4</t>
  </si>
  <si>
    <t>AVG</t>
  </si>
  <si>
    <t>@</t>
  </si>
  <si>
    <t xml:space="preserve">Total Cost </t>
  </si>
  <si>
    <t>LIST $</t>
  </si>
  <si>
    <t>PM Schedule</t>
  </si>
  <si>
    <t>EACH</t>
  </si>
  <si>
    <t>extended</t>
  </si>
  <si>
    <t>Initial 250</t>
  </si>
  <si>
    <t>150307</t>
  </si>
  <si>
    <t>return filter</t>
  </si>
  <si>
    <t>027376</t>
  </si>
  <si>
    <t>leak oil filter</t>
  </si>
  <si>
    <t>Vent filter</t>
  </si>
  <si>
    <t>150309</t>
  </si>
  <si>
    <t>Hydro-clean filter</t>
  </si>
  <si>
    <t>106924</t>
  </si>
  <si>
    <t>engine oil filter</t>
  </si>
  <si>
    <t>169951</t>
  </si>
  <si>
    <t>fuel filter</t>
  </si>
  <si>
    <t>Water seperator</t>
  </si>
  <si>
    <t>169954</t>
  </si>
  <si>
    <t>Crankcase filter</t>
  </si>
  <si>
    <t>154947</t>
  </si>
  <si>
    <t>Pressure filter (swing)</t>
  </si>
  <si>
    <t>107202</t>
  </si>
  <si>
    <t>heater filter (internal)</t>
  </si>
  <si>
    <t>107060</t>
  </si>
  <si>
    <t>Cabin filter (external)</t>
  </si>
  <si>
    <t>external engine air filter</t>
  </si>
  <si>
    <t>safety engine air filter</t>
  </si>
  <si>
    <t>172327</t>
  </si>
  <si>
    <t>V-belt</t>
  </si>
  <si>
    <t>Hyd Oil</t>
  </si>
  <si>
    <t>Axle oil</t>
  </si>
  <si>
    <t>engine oil</t>
  </si>
  <si>
    <t>Trans oil</t>
  </si>
  <si>
    <t>coolant</t>
  </si>
  <si>
    <t>Compleat ES (Cummins)</t>
  </si>
  <si>
    <t>All capacities are in gal.</t>
  </si>
  <si>
    <t>PARTS TOTAL</t>
  </si>
  <si>
    <t>Labor hrs required per service</t>
  </si>
  <si>
    <t>PM LABOR HOURS &amp; $$</t>
  </si>
  <si>
    <t>Misc. labor service, AC, engine, ect</t>
  </si>
  <si>
    <t>INSPECTION LABOR HOURS &amp; PARTS $$</t>
  </si>
  <si>
    <t>TOTAL PM PER PERIOD</t>
  </si>
  <si>
    <t>CUMULATIVE PM per SERVICE</t>
  </si>
  <si>
    <t>PM COST PER HOUR</t>
  </si>
  <si>
    <t>Sennebogen 821M E T4F</t>
  </si>
  <si>
    <t>178036</t>
  </si>
  <si>
    <t>190207</t>
  </si>
  <si>
    <t>191363</t>
  </si>
  <si>
    <t>153955</t>
  </si>
  <si>
    <t>176434</t>
  </si>
  <si>
    <t>167974</t>
  </si>
  <si>
    <t>187692</t>
  </si>
  <si>
    <t>180675</t>
  </si>
  <si>
    <t>Gen side coupler</t>
  </si>
  <si>
    <t>166049</t>
  </si>
  <si>
    <t>Motor side Coupler</t>
  </si>
  <si>
    <t>133184</t>
  </si>
  <si>
    <t>Center coupler</t>
  </si>
  <si>
    <t>Adblue Module Filter</t>
  </si>
  <si>
    <t>Adblue Tank Filter</t>
  </si>
  <si>
    <t>181865</t>
  </si>
  <si>
    <t>HLVP 46</t>
  </si>
  <si>
    <t>5332604</t>
  </si>
  <si>
    <t>5321675RX</t>
  </si>
  <si>
    <t>4352595</t>
  </si>
  <si>
    <t>166052</t>
  </si>
  <si>
    <t>5254261PX</t>
  </si>
  <si>
    <t>Contract length</t>
  </si>
  <si>
    <t>Misc. Contract cost</t>
  </si>
  <si>
    <t>Input your  percentage for entire contract length for misc. parts such as Hoses, Relays, Switches etc.)</t>
  </si>
  <si>
    <t>Input your additional percentage for repair trips (100% is pre-calculated for all PM trips per length of contract)</t>
  </si>
  <si>
    <t>Input your travel labor &amp; mileage per round trip.</t>
  </si>
  <si>
    <t>Input Data</t>
  </si>
  <si>
    <t>Fluid cost</t>
  </si>
  <si>
    <t>Labor rate (PM)</t>
  </si>
  <si>
    <t>Input your per hour labor rate for PM.</t>
  </si>
  <si>
    <t>Hydraulic oil per gallon</t>
  </si>
  <si>
    <t>Labor rate (Repair)</t>
  </si>
  <si>
    <t>Input your per hour labor rate for Repair.</t>
  </si>
  <si>
    <t>Transmission Fluid</t>
  </si>
  <si>
    <t xml:space="preserve">Misc. PM cost </t>
  </si>
  <si>
    <t>Input misc. PM cost such as valve adjustment on engine (Every 4,000 hours).</t>
  </si>
  <si>
    <t>Axle oil per gallon</t>
  </si>
  <si>
    <t>Adj.Rates in % - increase per year</t>
  </si>
  <si>
    <t>Engine oil per gallon</t>
  </si>
  <si>
    <t>Coolant per gallon</t>
  </si>
  <si>
    <t>Adj.Rates in % - Increase per year</t>
  </si>
  <si>
    <t>TOTAL AVG COST PER HOUR</t>
  </si>
  <si>
    <t>15W/40</t>
  </si>
  <si>
    <t xml:space="preserve"> 15W/40</t>
  </si>
  <si>
    <t xml:space="preserve"> 80W/90</t>
  </si>
  <si>
    <t>Total Repair and Maintenance Cost per Hour</t>
  </si>
  <si>
    <t>Total PM Cost per Hour (already incl. above)</t>
  </si>
  <si>
    <t>236291</t>
  </si>
  <si>
    <t>200003</t>
  </si>
  <si>
    <t>200004</t>
  </si>
  <si>
    <t>214062</t>
  </si>
  <si>
    <t>198971</t>
  </si>
  <si>
    <t>226305</t>
  </si>
  <si>
    <t>226304</t>
  </si>
  <si>
    <t>202569</t>
  </si>
  <si>
    <t>225621</t>
  </si>
  <si>
    <t>217620</t>
  </si>
  <si>
    <t>205787</t>
  </si>
  <si>
    <t>178069</t>
  </si>
  <si>
    <t>225620</t>
  </si>
  <si>
    <t>Pricing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</si>
</sst>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d\,\ yyyy"/>
    <numFmt numFmtId="165" formatCode="[$$-409]#,##0.00"/>
    <numFmt numFmtId="166" formatCode="hh:mm\ AM/PM"/>
    <numFmt numFmtId="167" formatCode="m/d/yy\ h:mm:ss\ AM/PM"/>
    <numFmt numFmtId="168" formatCode="&quot;$&quot;#,##0"/>
    <numFmt numFmtId="169" formatCode="[$$-409]#,##0"/>
    <numFmt numFmtId="170" formatCode="#,##0.0"/>
    <numFmt numFmtId="171" formatCode="&quot;$&quot;#,##0.00"/>
    <numFmt numFmtId="172" formatCode="&quot;$&quot;0.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u/>
      <sz val="14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rgb="FFC00000"/>
      <name val="Arial"/>
      <family val="2"/>
    </font>
    <font>
      <sz val="11"/>
      <color rgb="FFC00000"/>
      <name val="Arial"/>
      <family val="2"/>
    </font>
    <font>
      <b/>
      <sz val="20"/>
      <name val="Arial"/>
      <family val="2"/>
    </font>
    <font>
      <b/>
      <sz val="20"/>
      <color theme="1"/>
      <name val="Arial"/>
      <family val="2"/>
    </font>
    <font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226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right"/>
    </xf>
    <xf numFmtId="49" fontId="4" fillId="0" borderId="0" xfId="1" applyNumberFormat="1" applyFont="1" applyAlignment="1"/>
    <xf numFmtId="0" fontId="5" fillId="0" borderId="0" xfId="1" applyNumberFormat="1" applyFont="1" applyAlignment="1"/>
    <xf numFmtId="0" fontId="6" fillId="0" borderId="0" xfId="1" applyNumberFormat="1" applyFont="1" applyAlignment="1"/>
    <xf numFmtId="44" fontId="6" fillId="0" borderId="0" xfId="2" applyFont="1" applyAlignment="1"/>
    <xf numFmtId="0" fontId="4" fillId="0" borderId="0" xfId="1" applyNumberFormat="1" applyFont="1" applyAlignment="1"/>
    <xf numFmtId="3" fontId="4" fillId="0" borderId="0" xfId="1" applyNumberFormat="1" applyFont="1" applyAlignment="1"/>
    <xf numFmtId="44" fontId="4" fillId="0" borderId="0" xfId="2" applyFont="1" applyAlignment="1"/>
    <xf numFmtId="0" fontId="4" fillId="0" borderId="0" xfId="1" applyNumberFormat="1" applyFont="1" applyAlignment="1">
      <alignment horizontal="center"/>
    </xf>
    <xf numFmtId="44" fontId="4" fillId="0" borderId="0" xfId="2" applyFont="1" applyAlignment="1">
      <alignment horizontal="center"/>
    </xf>
    <xf numFmtId="0" fontId="2" fillId="0" borderId="0" xfId="1" applyFont="1" applyAlignment="1">
      <alignment horizontal="right"/>
    </xf>
    <xf numFmtId="0" fontId="5" fillId="2" borderId="0" xfId="1" applyNumberFormat="1" applyFont="1" applyFill="1" applyAlignment="1"/>
    <xf numFmtId="44" fontId="5" fillId="0" borderId="0" xfId="2" applyFont="1" applyAlignment="1"/>
    <xf numFmtId="0" fontId="2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left"/>
    </xf>
    <xf numFmtId="3" fontId="5" fillId="0" borderId="0" xfId="1" applyNumberFormat="1" applyFont="1" applyAlignment="1"/>
    <xf numFmtId="165" fontId="4" fillId="0" borderId="0" xfId="1" applyNumberFormat="1" applyFont="1" applyAlignment="1"/>
    <xf numFmtId="49" fontId="2" fillId="0" borderId="0" xfId="1" applyNumberFormat="1" applyFont="1" applyAlignment="1"/>
    <xf numFmtId="166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44" fontId="2" fillId="0" borderId="0" xfId="2" applyFont="1" applyAlignment="1"/>
    <xf numFmtId="3" fontId="2" fillId="0" borderId="0" xfId="1" applyNumberFormat="1" applyFont="1" applyAlignment="1"/>
    <xf numFmtId="49" fontId="5" fillId="0" borderId="0" xfId="1" applyNumberFormat="1" applyFont="1" applyAlignment="1"/>
    <xf numFmtId="167" fontId="2" fillId="0" borderId="0" xfId="1" applyNumberFormat="1" applyFont="1" applyAlignment="1">
      <alignment horizontal="left"/>
    </xf>
    <xf numFmtId="44" fontId="2" fillId="0" borderId="0" xfId="2" applyFont="1" applyAlignment="1">
      <alignment horizontal="center"/>
    </xf>
    <xf numFmtId="3" fontId="2" fillId="0" borderId="0" xfId="1" applyNumberFormat="1" applyFont="1" applyAlignment="1">
      <alignment horizontal="center"/>
    </xf>
    <xf numFmtId="0" fontId="4" fillId="0" borderId="0" xfId="1" applyFont="1"/>
    <xf numFmtId="5" fontId="2" fillId="2" borderId="0" xfId="2" applyNumberFormat="1" applyFont="1" applyFill="1" applyAlignment="1">
      <alignment horizontal="center"/>
    </xf>
    <xf numFmtId="0" fontId="1" fillId="0" borderId="0" xfId="0" applyFont="1" applyFill="1"/>
    <xf numFmtId="49" fontId="2" fillId="0" borderId="0" xfId="1" applyNumberFormat="1" applyFont="1" applyFill="1" applyAlignment="1"/>
    <xf numFmtId="0" fontId="2" fillId="0" borderId="0" xfId="1" applyNumberFormat="1" applyFont="1" applyFill="1" applyAlignment="1"/>
    <xf numFmtId="0" fontId="2" fillId="0" borderId="0" xfId="1" applyNumberFormat="1" applyFont="1" applyFill="1" applyAlignment="1">
      <alignment horizontal="center"/>
    </xf>
    <xf numFmtId="44" fontId="2" fillId="0" borderId="0" xfId="2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2" fontId="2" fillId="0" borderId="0" xfId="1" applyNumberFormat="1" applyFont="1" applyFill="1" applyAlignment="1"/>
    <xf numFmtId="44" fontId="2" fillId="0" borderId="0" xfId="2" applyFont="1" applyFill="1" applyAlignment="1"/>
    <xf numFmtId="0" fontId="2" fillId="0" borderId="0" xfId="1" applyFont="1" applyFill="1" applyAlignment="1">
      <alignment horizontal="center"/>
    </xf>
    <xf numFmtId="168" fontId="2" fillId="0" borderId="0" xfId="1" applyNumberFormat="1" applyFont="1" applyFill="1" applyAlignment="1">
      <alignment horizontal="right"/>
    </xf>
    <xf numFmtId="2" fontId="2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/>
    <xf numFmtId="44" fontId="4" fillId="0" borderId="0" xfId="2" applyFont="1" applyFill="1" applyAlignment="1"/>
    <xf numFmtId="3" fontId="4" fillId="0" borderId="0" xfId="1" applyNumberFormat="1" applyFont="1" applyFill="1" applyAlignment="1"/>
    <xf numFmtId="3" fontId="7" fillId="0" borderId="0" xfId="1" applyNumberFormat="1" applyFont="1" applyFill="1" applyAlignment="1"/>
    <xf numFmtId="2" fontId="4" fillId="0" borderId="0" xfId="1" applyNumberFormat="1" applyFont="1" applyFill="1" applyAlignment="1"/>
    <xf numFmtId="0" fontId="4" fillId="0" borderId="0" xfId="1" applyFont="1" applyFill="1"/>
    <xf numFmtId="49" fontId="4" fillId="0" borderId="0" xfId="1" quotePrefix="1" applyNumberFormat="1" applyFont="1" applyFill="1" applyAlignment="1"/>
    <xf numFmtId="0" fontId="4" fillId="2" borderId="0" xfId="1" applyNumberFormat="1" applyFont="1" applyFill="1" applyAlignment="1"/>
    <xf numFmtId="3" fontId="4" fillId="2" borderId="0" xfId="1" applyNumberFormat="1" applyFont="1" applyFill="1" applyAlignment="1"/>
    <xf numFmtId="44" fontId="4" fillId="2" borderId="0" xfId="2" applyFont="1" applyFill="1" applyAlignment="1"/>
    <xf numFmtId="169" fontId="4" fillId="0" borderId="0" xfId="1" applyNumberFormat="1" applyFont="1" applyFill="1" applyAlignment="1"/>
    <xf numFmtId="2" fontId="4" fillId="0" borderId="0" xfId="1" applyNumberFormat="1" applyFont="1" applyFill="1" applyAlignment="1">
      <alignment horizontal="center"/>
    </xf>
    <xf numFmtId="0" fontId="4" fillId="2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44" fontId="4" fillId="0" borderId="0" xfId="2" applyFont="1" applyFill="1" applyAlignment="1">
      <alignment horizontal="center"/>
    </xf>
    <xf numFmtId="44" fontId="4" fillId="0" borderId="0" xfId="1" applyNumberFormat="1" applyFont="1" applyFill="1" applyAlignment="1">
      <alignment horizontal="right"/>
    </xf>
    <xf numFmtId="0" fontId="4" fillId="0" borderId="0" xfId="1" applyNumberFormat="1" applyFont="1" applyFill="1" applyAlignment="1">
      <alignment horizontal="center" vertical="center"/>
    </xf>
    <xf numFmtId="49" fontId="4" fillId="0" borderId="0" xfId="1" applyNumberFormat="1" applyFont="1" applyFill="1" applyAlignment="1"/>
    <xf numFmtId="168" fontId="4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right"/>
    </xf>
    <xf numFmtId="170" fontId="4" fillId="0" borderId="0" xfId="1" applyNumberFormat="1" applyFont="1" applyFill="1" applyAlignment="1"/>
    <xf numFmtId="49" fontId="4" fillId="0" borderId="0" xfId="1" quotePrefix="1" applyNumberFormat="1" applyFont="1" applyFill="1" applyAlignment="1">
      <alignment horizontal="left"/>
    </xf>
    <xf numFmtId="49" fontId="1" fillId="0" borderId="0" xfId="0" quotePrefix="1" applyNumberFormat="1" applyFont="1" applyFill="1"/>
    <xf numFmtId="49" fontId="4" fillId="0" borderId="0" xfId="0" quotePrefix="1" applyNumberFormat="1" applyFont="1" applyFill="1"/>
    <xf numFmtId="49" fontId="1" fillId="0" borderId="0" xfId="0" applyNumberFormat="1" applyFont="1" applyFill="1"/>
    <xf numFmtId="49" fontId="4" fillId="0" borderId="0" xfId="1" quotePrefix="1" applyNumberFormat="1" applyFont="1" applyFill="1" applyAlignment="1">
      <alignment horizontal="right"/>
    </xf>
    <xf numFmtId="171" fontId="4" fillId="0" borderId="0" xfId="1" applyNumberFormat="1" applyFont="1" applyFill="1" applyAlignment="1"/>
    <xf numFmtId="49" fontId="4" fillId="0" borderId="1" xfId="1" quotePrefix="1" applyNumberFormat="1" applyFont="1" applyFill="1" applyBorder="1" applyAlignment="1">
      <alignment horizontal="right"/>
    </xf>
    <xf numFmtId="0" fontId="4" fillId="0" borderId="1" xfId="1" applyNumberFormat="1" applyFont="1" applyFill="1" applyBorder="1" applyAlignment="1"/>
    <xf numFmtId="0" fontId="4" fillId="2" borderId="1" xfId="1" applyNumberFormat="1" applyFont="1" applyFill="1" applyBorder="1" applyAlignment="1"/>
    <xf numFmtId="0" fontId="4" fillId="0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/>
    <xf numFmtId="3" fontId="4" fillId="0" borderId="1" xfId="1" applyNumberFormat="1" applyFont="1" applyFill="1" applyBorder="1" applyAlignment="1"/>
    <xf numFmtId="2" fontId="4" fillId="0" borderId="1" xfId="1" applyNumberFormat="1" applyFont="1" applyFill="1" applyBorder="1" applyAlignment="1"/>
    <xf numFmtId="171" fontId="4" fillId="0" borderId="1" xfId="1" applyNumberFormat="1" applyFont="1" applyFill="1" applyBorder="1" applyAlignment="1"/>
    <xf numFmtId="2" fontId="4" fillId="0" borderId="1" xfId="1" applyNumberFormat="1" applyFont="1" applyFill="1" applyBorder="1" applyAlignment="1">
      <alignment horizontal="center"/>
    </xf>
    <xf numFmtId="44" fontId="4" fillId="0" borderId="1" xfId="2" applyFont="1" applyFill="1" applyBorder="1" applyAlignment="1"/>
    <xf numFmtId="0" fontId="4" fillId="2" borderId="1" xfId="1" applyNumberFormat="1" applyFont="1" applyFill="1" applyBorder="1" applyAlignment="1">
      <alignment horizontal="center"/>
    </xf>
    <xf numFmtId="44" fontId="4" fillId="0" borderId="1" xfId="2" applyFont="1" applyFill="1" applyBorder="1" applyAlignment="1">
      <alignment horizontal="center"/>
    </xf>
    <xf numFmtId="168" fontId="2" fillId="0" borderId="1" xfId="1" applyNumberFormat="1" applyFont="1" applyFill="1" applyBorder="1" applyAlignment="1">
      <alignment horizontal="right"/>
    </xf>
    <xf numFmtId="0" fontId="1" fillId="0" borderId="1" xfId="0" applyFont="1" applyFill="1" applyBorder="1"/>
    <xf numFmtId="44" fontId="2" fillId="0" borderId="0" xfId="1" applyNumberFormat="1" applyFont="1" applyFill="1" applyAlignment="1">
      <alignment horizontal="right"/>
    </xf>
    <xf numFmtId="44" fontId="4" fillId="3" borderId="0" xfId="2" applyFont="1" applyFill="1" applyAlignment="1"/>
    <xf numFmtId="0" fontId="4" fillId="3" borderId="0" xfId="1" applyNumberFormat="1" applyFont="1" applyFill="1" applyAlignment="1"/>
    <xf numFmtId="3" fontId="4" fillId="3" borderId="0" xfId="1" applyNumberFormat="1" applyFont="1" applyFill="1" applyAlignment="1"/>
    <xf numFmtId="3" fontId="2" fillId="3" borderId="0" xfId="1" applyNumberFormat="1" applyFont="1" applyFill="1" applyAlignment="1"/>
    <xf numFmtId="44" fontId="2" fillId="3" borderId="0" xfId="2" applyFont="1" applyFill="1" applyAlignment="1"/>
    <xf numFmtId="165" fontId="2" fillId="3" borderId="0" xfId="1" applyNumberFormat="1" applyFont="1" applyFill="1" applyAlignment="1"/>
    <xf numFmtId="2" fontId="4" fillId="3" borderId="0" xfId="1" applyNumberFormat="1" applyFont="1" applyFill="1" applyAlignment="1">
      <alignment horizontal="center"/>
    </xf>
    <xf numFmtId="44" fontId="2" fillId="0" borderId="0" xfId="1" applyNumberFormat="1" applyFont="1" applyAlignment="1">
      <alignment horizontal="right"/>
    </xf>
    <xf numFmtId="10" fontId="2" fillId="4" borderId="0" xfId="1" applyNumberFormat="1" applyFont="1" applyFill="1" applyAlignment="1"/>
    <xf numFmtId="2" fontId="2" fillId="3" borderId="0" xfId="1" applyNumberFormat="1" applyFont="1" applyFill="1" applyAlignment="1"/>
    <xf numFmtId="0" fontId="2" fillId="3" borderId="0" xfId="1" applyNumberFormat="1" applyFont="1" applyFill="1" applyAlignment="1"/>
    <xf numFmtId="165" fontId="4" fillId="3" borderId="0" xfId="1" applyNumberFormat="1" applyFont="1" applyFill="1" applyAlignment="1"/>
    <xf numFmtId="2" fontId="4" fillId="3" borderId="0" xfId="1" applyNumberFormat="1" applyFont="1" applyFill="1" applyAlignment="1"/>
    <xf numFmtId="7" fontId="2" fillId="3" borderId="0" xfId="2" applyNumberFormat="1" applyFont="1" applyFill="1" applyAlignment="1"/>
    <xf numFmtId="0" fontId="8" fillId="0" borderId="0" xfId="1" applyNumberFormat="1" applyFont="1" applyAlignment="1"/>
    <xf numFmtId="7" fontId="4" fillId="3" borderId="0" xfId="2" applyNumberFormat="1" applyFont="1" applyFill="1" applyAlignment="1"/>
    <xf numFmtId="9" fontId="4" fillId="4" borderId="0" xfId="1" applyNumberFormat="1" applyFont="1" applyFill="1" applyAlignment="1"/>
    <xf numFmtId="1" fontId="4" fillId="3" borderId="0" xfId="1" applyNumberFormat="1" applyFont="1" applyFill="1" applyAlignment="1"/>
    <xf numFmtId="171" fontId="4" fillId="4" borderId="0" xfId="1" applyNumberFormat="1" applyFont="1" applyFill="1" applyAlignment="1"/>
    <xf numFmtId="171" fontId="4" fillId="3" borderId="0" xfId="1" applyNumberFormat="1" applyFont="1" applyFill="1" applyAlignment="1"/>
    <xf numFmtId="171" fontId="2" fillId="3" borderId="0" xfId="2" applyNumberFormat="1" applyFont="1" applyFill="1" applyAlignment="1"/>
    <xf numFmtId="44" fontId="2" fillId="3" borderId="2" xfId="2" applyFont="1" applyFill="1" applyBorder="1"/>
    <xf numFmtId="0" fontId="2" fillId="3" borderId="2" xfId="1" applyFont="1" applyFill="1" applyBorder="1"/>
    <xf numFmtId="3" fontId="2" fillId="3" borderId="2" xfId="1" applyNumberFormat="1" applyFont="1" applyFill="1" applyBorder="1"/>
    <xf numFmtId="0" fontId="2" fillId="3" borderId="2" xfId="1" applyNumberFormat="1" applyFont="1" applyFill="1" applyBorder="1" applyAlignment="1"/>
    <xf numFmtId="2" fontId="2" fillId="3" borderId="2" xfId="1" applyNumberFormat="1" applyFont="1" applyFill="1" applyBorder="1" applyAlignment="1"/>
    <xf numFmtId="171" fontId="2" fillId="3" borderId="2" xfId="2" applyNumberFormat="1" applyFont="1" applyFill="1" applyBorder="1" applyAlignment="1"/>
    <xf numFmtId="44" fontId="2" fillId="0" borderId="0" xfId="2" applyFont="1" applyAlignment="1">
      <alignment horizontal="fill"/>
    </xf>
    <xf numFmtId="49" fontId="4" fillId="0" borderId="0" xfId="1" applyNumberFormat="1" applyFont="1"/>
    <xf numFmtId="44" fontId="4" fillId="0" borderId="0" xfId="2" applyFont="1"/>
    <xf numFmtId="3" fontId="4" fillId="0" borderId="0" xfId="1" applyNumberFormat="1" applyFont="1"/>
    <xf numFmtId="0" fontId="4" fillId="0" borderId="0" xfId="1" applyFont="1" applyAlignment="1">
      <alignment horizontal="center"/>
    </xf>
    <xf numFmtId="165" fontId="2" fillId="0" borderId="0" xfId="1" applyNumberFormat="1" applyFont="1" applyAlignment="1"/>
    <xf numFmtId="8" fontId="4" fillId="0" borderId="0" xfId="1" applyNumberFormat="1" applyFont="1"/>
    <xf numFmtId="10" fontId="4" fillId="0" borderId="0" xfId="1" applyNumberFormat="1" applyFont="1"/>
    <xf numFmtId="9" fontId="4" fillId="0" borderId="0" xfId="1" applyNumberFormat="1" applyFont="1"/>
    <xf numFmtId="2" fontId="2" fillId="5" borderId="0" xfId="1" applyNumberFormat="1" applyFont="1" applyFill="1"/>
    <xf numFmtId="8" fontId="2" fillId="5" borderId="0" xfId="1" applyNumberFormat="1" applyFont="1" applyFill="1"/>
    <xf numFmtId="0" fontId="2" fillId="0" borderId="0" xfId="1" applyFont="1" applyFill="1"/>
    <xf numFmtId="2" fontId="2" fillId="0" borderId="0" xfId="1" applyNumberFormat="1" applyFont="1" applyFill="1"/>
    <xf numFmtId="8" fontId="2" fillId="0" borderId="0" xfId="1" applyNumberFormat="1" applyFont="1" applyFill="1"/>
    <xf numFmtId="2" fontId="2" fillId="6" borderId="0" xfId="1" applyNumberFormat="1" applyFont="1" applyFill="1" applyAlignment="1">
      <alignment horizontal="center"/>
    </xf>
    <xf numFmtId="38" fontId="2" fillId="6" borderId="0" xfId="1" applyNumberFormat="1" applyFont="1" applyFill="1"/>
    <xf numFmtId="2" fontId="2" fillId="6" borderId="0" xfId="1" applyNumberFormat="1" applyFont="1" applyFill="1"/>
    <xf numFmtId="8" fontId="2" fillId="6" borderId="0" xfId="1" applyNumberFormat="1" applyFont="1" applyFill="1"/>
    <xf numFmtId="49" fontId="5" fillId="0" borderId="0" xfId="1" applyNumberFormat="1" applyFont="1"/>
    <xf numFmtId="0" fontId="2" fillId="0" borderId="0" xfId="1" applyFont="1"/>
    <xf numFmtId="0" fontId="9" fillId="0" borderId="0" xfId="0" applyFont="1"/>
    <xf numFmtId="49" fontId="4" fillId="0" borderId="0" xfId="1" quotePrefix="1" applyNumberFormat="1" applyFont="1" applyFill="1"/>
    <xf numFmtId="0" fontId="4" fillId="4" borderId="0" xfId="1" applyFont="1" applyFill="1"/>
    <xf numFmtId="0" fontId="4" fillId="4" borderId="0" xfId="1" applyFont="1" applyFill="1" applyBorder="1"/>
    <xf numFmtId="49" fontId="4" fillId="0" borderId="0" xfId="1" applyNumberFormat="1" applyFont="1" applyAlignment="1">
      <alignment horizontal="right"/>
    </xf>
    <xf numFmtId="0" fontId="10" fillId="0" borderId="0" xfId="0" applyFont="1"/>
    <xf numFmtId="49" fontId="2" fillId="0" borderId="0" xfId="1" applyNumberFormat="1" applyFont="1"/>
    <xf numFmtId="171" fontId="2" fillId="0" borderId="0" xfId="1" applyNumberFormat="1" applyFont="1"/>
    <xf numFmtId="0" fontId="2" fillId="0" borderId="0" xfId="1" applyFont="1" applyAlignment="1">
      <alignment horizontal="center"/>
    </xf>
    <xf numFmtId="5" fontId="2" fillId="4" borderId="0" xfId="1" applyNumberFormat="1" applyFont="1" applyFill="1"/>
    <xf numFmtId="5" fontId="4" fillId="0" borderId="0" xfId="1" applyNumberFormat="1" applyFont="1"/>
    <xf numFmtId="5" fontId="4" fillId="4" borderId="0" xfId="1" applyNumberFormat="1" applyFont="1" applyFill="1"/>
    <xf numFmtId="49" fontId="4" fillId="0" borderId="3" xfId="1" applyNumberFormat="1" applyFont="1" applyBorder="1"/>
    <xf numFmtId="0" fontId="4" fillId="0" borderId="3" xfId="1" applyFont="1" applyBorder="1"/>
    <xf numFmtId="5" fontId="2" fillId="4" borderId="3" xfId="1" applyNumberFormat="1" applyFont="1" applyFill="1" applyBorder="1"/>
    <xf numFmtId="5" fontId="4" fillId="4" borderId="3" xfId="1" applyNumberFormat="1" applyFont="1" applyFill="1" applyBorder="1"/>
    <xf numFmtId="0" fontId="4" fillId="4" borderId="3" xfId="1" applyFont="1" applyFill="1" applyBorder="1"/>
    <xf numFmtId="5" fontId="4" fillId="0" borderId="3" xfId="1" applyNumberFormat="1" applyFont="1" applyBorder="1"/>
    <xf numFmtId="49" fontId="4" fillId="0" borderId="0" xfId="1" applyNumberFormat="1" applyFont="1" applyFill="1" applyBorder="1"/>
    <xf numFmtId="7" fontId="4" fillId="0" borderId="0" xfId="1" applyNumberFormat="1" applyFont="1"/>
    <xf numFmtId="7" fontId="1" fillId="0" borderId="0" xfId="0" applyNumberFormat="1" applyFont="1"/>
    <xf numFmtId="49" fontId="2" fillId="5" borderId="0" xfId="1" applyNumberFormat="1" applyFont="1" applyFill="1" applyBorder="1"/>
    <xf numFmtId="0" fontId="2" fillId="5" borderId="0" xfId="1" applyFont="1" applyFill="1"/>
    <xf numFmtId="7" fontId="2" fillId="5" borderId="0" xfId="1" applyNumberFormat="1" applyFont="1" applyFill="1"/>
    <xf numFmtId="0" fontId="0" fillId="0" borderId="0" xfId="0" applyProtection="1"/>
    <xf numFmtId="0" fontId="6" fillId="0" borderId="0" xfId="1" applyNumberFormat="1" applyFont="1" applyAlignment="1" applyProtection="1"/>
    <xf numFmtId="0" fontId="5" fillId="0" borderId="0" xfId="1" applyNumberFormat="1" applyFont="1" applyAlignment="1" applyProtection="1"/>
    <xf numFmtId="0" fontId="0" fillId="0" borderId="0" xfId="0" applyFill="1" applyProtection="1"/>
    <xf numFmtId="44" fontId="6" fillId="0" borderId="0" xfId="2" applyFont="1" applyAlignment="1" applyProtection="1"/>
    <xf numFmtId="0" fontId="11" fillId="0" borderId="0" xfId="1" applyNumberFormat="1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0" fillId="0" borderId="0" xfId="0" applyFill="1" applyBorder="1" applyProtection="1"/>
    <xf numFmtId="0" fontId="0" fillId="8" borderId="1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5" fillId="6" borderId="12" xfId="1" applyNumberFormat="1" applyFont="1" applyFill="1" applyBorder="1" applyAlignment="1" applyProtection="1">
      <protection locked="0"/>
    </xf>
    <xf numFmtId="0" fontId="5" fillId="8" borderId="0" xfId="1" applyNumberFormat="1" applyFont="1" applyFill="1" applyBorder="1" applyAlignment="1" applyProtection="1"/>
    <xf numFmtId="44" fontId="5" fillId="8" borderId="0" xfId="2" applyFont="1" applyFill="1" applyBorder="1" applyAlignment="1" applyProtection="1"/>
    <xf numFmtId="10" fontId="14" fillId="6" borderId="12" xfId="0" applyNumberFormat="1" applyFont="1" applyFill="1" applyBorder="1" applyProtection="1">
      <protection locked="0"/>
    </xf>
    <xf numFmtId="0" fontId="15" fillId="8" borderId="0" xfId="0" applyFont="1" applyFill="1" applyBorder="1" applyAlignment="1" applyProtection="1">
      <alignment horizontal="left"/>
    </xf>
    <xf numFmtId="1" fontId="5" fillId="8" borderId="10" xfId="1" applyNumberFormat="1" applyFont="1" applyFill="1" applyBorder="1" applyAlignment="1" applyProtection="1"/>
    <xf numFmtId="0" fontId="14" fillId="8" borderId="10" xfId="0" applyFont="1" applyFill="1" applyBorder="1" applyProtection="1"/>
    <xf numFmtId="3" fontId="5" fillId="6" borderId="12" xfId="1" applyNumberFormat="1" applyFont="1" applyFill="1" applyBorder="1" applyAlignment="1" applyProtection="1">
      <protection locked="0"/>
    </xf>
    <xf numFmtId="0" fontId="0" fillId="8" borderId="13" xfId="0" applyFill="1" applyBorder="1" applyProtection="1"/>
    <xf numFmtId="0" fontId="0" fillId="8" borderId="1" xfId="0" applyFill="1" applyBorder="1" applyProtection="1"/>
    <xf numFmtId="0" fontId="0" fillId="8" borderId="14" xfId="0" applyFill="1" applyBorder="1" applyProtection="1"/>
    <xf numFmtId="172" fontId="14" fillId="6" borderId="12" xfId="0" applyNumberFormat="1" applyFont="1" applyFill="1" applyBorder="1" applyProtection="1">
      <protection locked="0"/>
    </xf>
    <xf numFmtId="0" fontId="14" fillId="8" borderId="13" xfId="0" applyFont="1" applyFill="1" applyBorder="1" applyProtection="1"/>
    <xf numFmtId="0" fontId="0" fillId="8" borderId="10" xfId="0" applyFont="1" applyFill="1" applyBorder="1" applyProtection="1"/>
    <xf numFmtId="0" fontId="0" fillId="8" borderId="0" xfId="0" applyFont="1" applyFill="1" applyBorder="1" applyProtection="1"/>
    <xf numFmtId="0" fontId="0" fillId="8" borderId="11" xfId="0" applyFont="1" applyFill="1" applyBorder="1" applyProtection="1"/>
    <xf numFmtId="0" fontId="14" fillId="8" borderId="0" xfId="0" applyFont="1" applyFill="1" applyBorder="1" applyAlignment="1" applyProtection="1">
      <alignment horizontal="left"/>
    </xf>
    <xf numFmtId="0" fontId="16" fillId="8" borderId="0" xfId="0" applyFont="1" applyFill="1" applyBorder="1" applyAlignment="1" applyProtection="1">
      <alignment horizontal="left"/>
    </xf>
    <xf numFmtId="0" fontId="14" fillId="8" borderId="11" xfId="0" applyFont="1" applyFill="1" applyBorder="1" applyProtection="1"/>
    <xf numFmtId="172" fontId="14" fillId="8" borderId="10" xfId="0" applyNumberFormat="1" applyFont="1" applyFill="1" applyBorder="1" applyProtection="1"/>
    <xf numFmtId="171" fontId="14" fillId="6" borderId="12" xfId="0" applyNumberFormat="1" applyFont="1" applyFill="1" applyBorder="1" applyProtection="1">
      <protection locked="0"/>
    </xf>
    <xf numFmtId="0" fontId="12" fillId="8" borderId="11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12" fillId="8" borderId="13" xfId="0" applyFont="1" applyFill="1" applyBorder="1" applyProtection="1"/>
    <xf numFmtId="0" fontId="12" fillId="8" borderId="14" xfId="0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172" fontId="14" fillId="0" borderId="0" xfId="0" applyNumberFormat="1" applyFont="1" applyFill="1" applyBorder="1" applyProtection="1"/>
    <xf numFmtId="0" fontId="14" fillId="0" borderId="0" xfId="0" applyFont="1" applyFill="1" applyBorder="1" applyProtection="1"/>
    <xf numFmtId="0" fontId="14" fillId="8" borderId="14" xfId="0" applyFont="1" applyFill="1" applyBorder="1" applyProtection="1"/>
    <xf numFmtId="8" fontId="18" fillId="9" borderId="12" xfId="0" applyNumberFormat="1" applyFont="1" applyFill="1" applyBorder="1" applyAlignment="1" applyProtection="1">
      <alignment horizontal="center"/>
    </xf>
    <xf numFmtId="2" fontId="17" fillId="0" borderId="0" xfId="1" applyNumberFormat="1" applyFont="1" applyFill="1" applyBorder="1" applyAlignment="1" applyProtection="1">
      <alignment horizontal="center"/>
    </xf>
    <xf numFmtId="8" fontId="18" fillId="0" borderId="0" xfId="0" applyNumberFormat="1" applyFont="1" applyFill="1" applyBorder="1" applyAlignment="1" applyProtection="1">
      <alignment horizontal="center"/>
    </xf>
    <xf numFmtId="8" fontId="18" fillId="9" borderId="12" xfId="0" applyNumberFormat="1" applyFont="1" applyFill="1" applyBorder="1" applyAlignment="1" applyProtection="1">
      <alignment horizontal="center" vertical="center"/>
    </xf>
    <xf numFmtId="0" fontId="0" fillId="8" borderId="7" xfId="0" applyFill="1" applyBorder="1" applyProtection="1"/>
    <xf numFmtId="0" fontId="0" fillId="8" borderId="8" xfId="0" applyFill="1" applyBorder="1" applyProtection="1"/>
    <xf numFmtId="0" fontId="0" fillId="8" borderId="9" xfId="0" applyFill="1" applyBorder="1" applyProtection="1"/>
    <xf numFmtId="0" fontId="17" fillId="8" borderId="0" xfId="1" applyFont="1" applyFill="1" applyBorder="1" applyProtection="1"/>
    <xf numFmtId="8" fontId="18" fillId="8" borderId="0" xfId="0" applyNumberFormat="1" applyFont="1" applyFill="1" applyBorder="1" applyAlignment="1" applyProtection="1">
      <alignment horizontal="center" vertical="center"/>
    </xf>
    <xf numFmtId="0" fontId="19" fillId="8" borderId="11" xfId="1" applyFont="1" applyFill="1" applyBorder="1" applyAlignment="1" applyProtection="1">
      <alignment horizontal="left" vertical="center"/>
    </xf>
    <xf numFmtId="8" fontId="14" fillId="8" borderId="0" xfId="0" applyNumberFormat="1" applyFont="1" applyFill="1" applyBorder="1" applyAlignment="1" applyProtection="1">
      <alignment horizontal="center"/>
    </xf>
    <xf numFmtId="10" fontId="18" fillId="8" borderId="0" xfId="1" applyNumberFormat="1" applyFont="1" applyFill="1" applyBorder="1" applyProtection="1"/>
    <xf numFmtId="8" fontId="17" fillId="8" borderId="0" xfId="1" applyNumberFormat="1" applyFont="1" applyFill="1" applyBorder="1" applyAlignment="1" applyProtection="1">
      <alignment horizontal="center" vertical="center"/>
    </xf>
    <xf numFmtId="10" fontId="18" fillId="8" borderId="0" xfId="1" applyNumberFormat="1" applyFont="1" applyFill="1" applyBorder="1" applyAlignment="1" applyProtection="1">
      <alignment horizontal="right"/>
    </xf>
    <xf numFmtId="0" fontId="19" fillId="8" borderId="11" xfId="1" quotePrefix="1" applyFont="1" applyFill="1" applyBorder="1" applyAlignment="1" applyProtection="1">
      <alignment horizontal="left" vertical="center"/>
    </xf>
    <xf numFmtId="44" fontId="4" fillId="2" borderId="1" xfId="2" applyFont="1" applyFill="1" applyBorder="1" applyAlignment="1"/>
    <xf numFmtId="7" fontId="4" fillId="0" borderId="0" xfId="1" applyNumberFormat="1" applyFont="1" applyAlignment="1"/>
    <xf numFmtId="1" fontId="5" fillId="2" borderId="0" xfId="1" applyNumberFormat="1" applyFont="1" applyFill="1" applyAlignment="1"/>
    <xf numFmtId="2" fontId="17" fillId="9" borderId="4" xfId="1" applyNumberFormat="1" applyFont="1" applyFill="1" applyBorder="1" applyAlignment="1" applyProtection="1">
      <alignment horizontal="center"/>
    </xf>
    <xf numFmtId="2" fontId="17" fillId="9" borderId="5" xfId="1" applyNumberFormat="1" applyFont="1" applyFill="1" applyBorder="1" applyAlignment="1" applyProtection="1">
      <alignment horizontal="center"/>
    </xf>
    <xf numFmtId="2" fontId="17" fillId="9" borderId="6" xfId="1" applyNumberFormat="1" applyFont="1" applyFill="1" applyBorder="1" applyAlignment="1" applyProtection="1">
      <alignment horizontal="center"/>
    </xf>
    <xf numFmtId="0" fontId="5" fillId="7" borderId="4" xfId="1" applyNumberFormat="1" applyFont="1" applyFill="1" applyBorder="1" applyAlignment="1" applyProtection="1">
      <alignment horizontal="center"/>
    </xf>
    <xf numFmtId="0" fontId="5" fillId="7" borderId="5" xfId="1" applyNumberFormat="1" applyFont="1" applyFill="1" applyBorder="1" applyAlignment="1" applyProtection="1">
      <alignment horizontal="center"/>
    </xf>
    <xf numFmtId="0" fontId="5" fillId="7" borderId="6" xfId="1" applyNumberFormat="1" applyFont="1" applyFill="1" applyBorder="1" applyAlignment="1" applyProtection="1">
      <alignment horizontal="center"/>
    </xf>
    <xf numFmtId="0" fontId="11" fillId="8" borderId="7" xfId="1" applyNumberFormat="1" applyFont="1" applyFill="1" applyBorder="1" applyAlignment="1" applyProtection="1">
      <alignment horizontal="center"/>
    </xf>
    <xf numFmtId="0" fontId="11" fillId="8" borderId="8" xfId="1" applyNumberFormat="1" applyFont="1" applyFill="1" applyBorder="1" applyAlignment="1" applyProtection="1">
      <alignment horizontal="center"/>
    </xf>
    <xf numFmtId="0" fontId="11" fillId="8" borderId="9" xfId="1" applyNumberFormat="1" applyFont="1" applyFill="1" applyBorder="1" applyAlignment="1" applyProtection="1">
      <alignment horizontal="center"/>
    </xf>
    <xf numFmtId="0" fontId="13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2" fillId="0" borderId="0" xfId="1" applyNumberFormat="1" applyFont="1" applyFill="1" applyAlignment="1">
      <alignment horizontal="left" wrapText="1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35719</xdr:colOff>
      <xdr:row>0</xdr:row>
      <xdr:rowOff>35719</xdr:rowOff>
    </xdr:from>
    <xdr:ext cx="18629311" cy="1143000"/>
    <xdr:pic>
      <xdr:nvPicPr>
        <xdr:cNvPr id="2" name="Picture 1">
          <a:extLst>
            <a:ext uri="{FF2B5EF4-FFF2-40B4-BE49-F238E27FC236}">
              <a16:creationId xmlns:a16="http://schemas.microsoft.com/office/drawing/2014/main" id="{A6B94582-5361-45ED-B5F4-A87E2E829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" y="35719"/>
          <a:ext cx="18629311" cy="1143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35M%20E%20T4F%20Ra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835 E T4F"/>
    </sheetNames>
    <sheetDataSet>
      <sheetData sheetId="0"/>
      <sheetData sheetId="1">
        <row r="107">
          <cell r="T107">
            <v>3.4255355714228566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P56"/>
  <sheetViews>
    <sheetView zoomScale="60" zoomScaleNormal="60" workbookViewId="0">
      <selection activeCell="G49" sqref="G49"/>
    </sheetView>
  </sheetViews>
  <sheetFormatPr defaultColWidth="9.109375" defaultRowHeight="18" x14ac:dyDescent="0.35"/>
  <cols>
    <col min="1" max="1" width="9.109375" style="161"/>
    <col min="2" max="2" width="16.5546875" style="155" customWidth="1"/>
    <col min="3" max="4" width="9.109375" style="155"/>
    <col min="5" max="5" width="8" style="155" customWidth="1"/>
    <col min="6" max="6" width="9.109375" style="155"/>
    <col min="7" max="7" width="17.109375" style="155" customWidth="1"/>
    <col min="8" max="8" width="12.33203125" style="158" customWidth="1"/>
    <col min="9" max="9" width="36.88671875" style="155" customWidth="1"/>
    <col min="10" max="10" width="17.109375" style="155" customWidth="1"/>
    <col min="11" max="11" width="17" style="155" customWidth="1"/>
    <col min="12" max="12" width="118.44140625" style="155" customWidth="1"/>
    <col min="13" max="13" width="89.109375" style="155" customWidth="1"/>
    <col min="14" max="16" width="9.109375" style="155"/>
    <col min="17" max="17" width="40.88671875" style="155" customWidth="1"/>
    <col min="18" max="16384" width="9.109375" style="155"/>
  </cols>
  <sheetData>
    <row r="12" spans="2:10" x14ac:dyDescent="0.35">
      <c r="H12" s="216" t="str">
        <f>'821M T4F'!C2</f>
        <v>Sennebogen 821M E T4F</v>
      </c>
      <c r="I12" s="217"/>
      <c r="J12" s="218"/>
    </row>
    <row r="14" spans="2:10" x14ac:dyDescent="0.35">
      <c r="H14" s="216" t="str">
        <f>'821M T4F'!C4</f>
        <v>Pricing Feb 2020</v>
      </c>
      <c r="I14" s="217"/>
      <c r="J14" s="218"/>
    </row>
    <row r="15" spans="2:10" x14ac:dyDescent="0.35">
      <c r="B15" s="156"/>
      <c r="C15" s="156"/>
      <c r="D15" s="156"/>
      <c r="E15" s="156"/>
      <c r="F15" s="156"/>
      <c r="G15" s="157"/>
      <c r="I15" s="156"/>
      <c r="J15" s="159"/>
    </row>
    <row r="16" spans="2:10" x14ac:dyDescent="0.35">
      <c r="B16" s="156"/>
      <c r="C16" s="156"/>
      <c r="D16" s="156"/>
      <c r="E16" s="156"/>
      <c r="F16" s="156"/>
      <c r="H16" s="155"/>
    </row>
    <row r="17" spans="2:16" x14ac:dyDescent="0.35">
      <c r="B17" s="156"/>
      <c r="C17" s="156"/>
      <c r="D17" s="156"/>
      <c r="E17" s="156"/>
      <c r="F17" s="156"/>
      <c r="H17" s="155"/>
    </row>
    <row r="18" spans="2:16" x14ac:dyDescent="0.35">
      <c r="B18" s="156"/>
      <c r="C18" s="156"/>
      <c r="D18" s="156"/>
      <c r="E18" s="156"/>
      <c r="F18" s="156"/>
      <c r="H18" s="155"/>
    </row>
    <row r="19" spans="2:16" x14ac:dyDescent="0.35">
      <c r="B19" s="156"/>
      <c r="C19" s="156"/>
      <c r="D19" s="156"/>
      <c r="E19" s="156"/>
      <c r="F19" s="156"/>
    </row>
    <row r="20" spans="2:16" x14ac:dyDescent="0.35">
      <c r="B20" s="219" t="s">
        <v>219</v>
      </c>
      <c r="C20" s="220"/>
      <c r="D20" s="220"/>
      <c r="E20" s="220"/>
      <c r="F20" s="220"/>
      <c r="G20" s="221"/>
      <c r="H20" s="160"/>
      <c r="I20" s="161"/>
      <c r="K20" s="222" t="s">
        <v>220</v>
      </c>
      <c r="L20" s="223"/>
      <c r="M20" s="162"/>
    </row>
    <row r="21" spans="2:16" x14ac:dyDescent="0.35">
      <c r="B21" s="163"/>
      <c r="C21" s="164"/>
      <c r="D21" s="164"/>
      <c r="E21" s="164"/>
      <c r="F21" s="164"/>
      <c r="G21" s="165"/>
      <c r="H21" s="162"/>
      <c r="I21" s="161"/>
      <c r="K21" s="163"/>
      <c r="L21" s="164"/>
      <c r="M21" s="162"/>
    </row>
    <row r="22" spans="2:16" x14ac:dyDescent="0.35">
      <c r="B22" s="166">
        <v>12</v>
      </c>
      <c r="C22" s="167" t="s">
        <v>2</v>
      </c>
      <c r="D22" s="168"/>
      <c r="E22" s="164"/>
      <c r="F22" s="164"/>
      <c r="G22" s="165"/>
      <c r="H22" s="162"/>
      <c r="I22" s="161"/>
      <c r="K22" s="169">
        <v>0.15</v>
      </c>
      <c r="L22" s="170" t="s">
        <v>221</v>
      </c>
      <c r="M22" s="162"/>
    </row>
    <row r="23" spans="2:16" x14ac:dyDescent="0.35">
      <c r="B23" s="171">
        <f>B24/B22</f>
        <v>250</v>
      </c>
      <c r="C23" s="167" t="s">
        <v>3</v>
      </c>
      <c r="D23" s="168"/>
      <c r="E23" s="164"/>
      <c r="F23" s="164"/>
      <c r="G23" s="165"/>
      <c r="H23" s="162"/>
      <c r="I23" s="161"/>
      <c r="K23" s="172"/>
      <c r="L23" s="164"/>
      <c r="M23" s="162"/>
    </row>
    <row r="24" spans="2:16" x14ac:dyDescent="0.35">
      <c r="B24" s="173">
        <v>3000</v>
      </c>
      <c r="C24" s="167" t="s">
        <v>5</v>
      </c>
      <c r="D24" s="168"/>
      <c r="E24" s="164"/>
      <c r="F24" s="164"/>
      <c r="G24" s="165"/>
      <c r="H24" s="162"/>
      <c r="I24" s="161"/>
      <c r="K24" s="169">
        <v>1</v>
      </c>
      <c r="L24" s="170" t="s">
        <v>222</v>
      </c>
      <c r="M24" s="162"/>
      <c r="O24" s="158"/>
    </row>
    <row r="25" spans="2:16" x14ac:dyDescent="0.35">
      <c r="B25" s="174"/>
      <c r="C25" s="175"/>
      <c r="D25" s="175"/>
      <c r="E25" s="175"/>
      <c r="F25" s="175"/>
      <c r="G25" s="176"/>
      <c r="I25" s="161"/>
      <c r="K25" s="172"/>
      <c r="L25" s="164"/>
      <c r="M25" s="162"/>
    </row>
    <row r="26" spans="2:16" x14ac:dyDescent="0.35">
      <c r="I26" s="161"/>
      <c r="K26" s="177">
        <v>0</v>
      </c>
      <c r="L26" s="170" t="s">
        <v>223</v>
      </c>
      <c r="M26" s="162"/>
      <c r="O26" s="158"/>
      <c r="P26" s="158"/>
    </row>
    <row r="27" spans="2:16" x14ac:dyDescent="0.35">
      <c r="K27" s="178"/>
      <c r="L27" s="175"/>
      <c r="M27" s="162"/>
    </row>
    <row r="28" spans="2:16" x14ac:dyDescent="0.35">
      <c r="M28" s="158"/>
    </row>
    <row r="29" spans="2:16" x14ac:dyDescent="0.35">
      <c r="B29" s="222" t="s">
        <v>224</v>
      </c>
      <c r="C29" s="223"/>
      <c r="D29" s="223"/>
      <c r="E29" s="223"/>
      <c r="F29" s="223"/>
      <c r="G29" s="223"/>
      <c r="H29" s="223"/>
      <c r="I29" s="224"/>
      <c r="K29" s="222" t="s">
        <v>225</v>
      </c>
      <c r="L29" s="224"/>
    </row>
    <row r="30" spans="2:16" x14ac:dyDescent="0.35">
      <c r="B30" s="179"/>
      <c r="C30" s="180"/>
      <c r="D30" s="180"/>
      <c r="E30" s="180"/>
      <c r="F30" s="180"/>
      <c r="G30" s="180"/>
      <c r="H30" s="180"/>
      <c r="I30" s="181"/>
      <c r="K30" s="172"/>
      <c r="L30" s="165"/>
      <c r="M30" s="158"/>
    </row>
    <row r="31" spans="2:16" x14ac:dyDescent="0.35">
      <c r="B31" s="177">
        <v>0</v>
      </c>
      <c r="C31" s="182" t="s">
        <v>226</v>
      </c>
      <c r="D31" s="182"/>
      <c r="E31" s="182"/>
      <c r="F31" s="183" t="s">
        <v>227</v>
      </c>
      <c r="G31" s="182"/>
      <c r="H31" s="180"/>
      <c r="I31" s="181"/>
      <c r="K31" s="177">
        <v>0</v>
      </c>
      <c r="L31" s="184" t="s">
        <v>228</v>
      </c>
      <c r="M31" s="158"/>
    </row>
    <row r="32" spans="2:16" x14ac:dyDescent="0.35">
      <c r="B32" s="185"/>
      <c r="C32" s="180"/>
      <c r="D32" s="180"/>
      <c r="E32" s="180"/>
      <c r="F32" s="180"/>
      <c r="G32" s="180"/>
      <c r="H32" s="180"/>
      <c r="I32" s="181"/>
      <c r="K32" s="172"/>
      <c r="L32" s="165"/>
      <c r="M32" s="158"/>
    </row>
    <row r="33" spans="1:16" x14ac:dyDescent="0.35">
      <c r="B33" s="177">
        <v>0</v>
      </c>
      <c r="C33" s="182" t="s">
        <v>229</v>
      </c>
      <c r="D33" s="182"/>
      <c r="E33" s="182"/>
      <c r="F33" s="183" t="s">
        <v>230</v>
      </c>
      <c r="G33" s="182"/>
      <c r="H33" s="180"/>
      <c r="I33" s="181"/>
      <c r="K33" s="177">
        <v>0</v>
      </c>
      <c r="L33" s="184" t="s">
        <v>231</v>
      </c>
    </row>
    <row r="34" spans="1:16" x14ac:dyDescent="0.35">
      <c r="B34" s="185"/>
      <c r="C34" s="180"/>
      <c r="D34" s="180"/>
      <c r="E34" s="180"/>
      <c r="F34" s="180"/>
      <c r="G34" s="180"/>
      <c r="H34" s="180"/>
      <c r="I34" s="181"/>
      <c r="K34" s="172"/>
      <c r="L34" s="165"/>
      <c r="P34" s="158"/>
    </row>
    <row r="35" spans="1:16" x14ac:dyDescent="0.35">
      <c r="B35" s="186">
        <v>0</v>
      </c>
      <c r="C35" s="182" t="s">
        <v>232</v>
      </c>
      <c r="D35" s="182"/>
      <c r="E35" s="182"/>
      <c r="F35" s="183" t="s">
        <v>233</v>
      </c>
      <c r="G35" s="182"/>
      <c r="H35" s="180"/>
      <c r="I35" s="187"/>
      <c r="K35" s="177">
        <v>0</v>
      </c>
      <c r="L35" s="184" t="s">
        <v>234</v>
      </c>
    </row>
    <row r="36" spans="1:16" x14ac:dyDescent="0.35">
      <c r="B36" s="185"/>
      <c r="C36" s="180"/>
      <c r="D36" s="180"/>
      <c r="E36" s="180"/>
      <c r="F36" s="180"/>
      <c r="G36" s="180"/>
      <c r="H36" s="180"/>
      <c r="I36" s="187"/>
      <c r="K36" s="172"/>
      <c r="L36" s="165"/>
      <c r="M36" s="158"/>
    </row>
    <row r="37" spans="1:16" x14ac:dyDescent="0.35">
      <c r="A37" s="188"/>
      <c r="B37" s="169">
        <v>0.02</v>
      </c>
      <c r="C37" s="182" t="s">
        <v>235</v>
      </c>
      <c r="D37" s="182"/>
      <c r="E37" s="164"/>
      <c r="F37" s="164"/>
      <c r="G37" s="164"/>
      <c r="H37" s="164"/>
      <c r="I37" s="187"/>
      <c r="K37" s="177">
        <v>0</v>
      </c>
      <c r="L37" s="184" t="s">
        <v>236</v>
      </c>
    </row>
    <row r="38" spans="1:16" x14ac:dyDescent="0.35">
      <c r="A38" s="188"/>
      <c r="B38" s="189"/>
      <c r="C38" s="175"/>
      <c r="D38" s="175"/>
      <c r="E38" s="175"/>
      <c r="F38" s="175"/>
      <c r="G38" s="175"/>
      <c r="H38" s="175"/>
      <c r="I38" s="190"/>
      <c r="K38" s="172"/>
      <c r="L38" s="165"/>
    </row>
    <row r="39" spans="1:16" x14ac:dyDescent="0.35">
      <c r="A39" s="188"/>
      <c r="B39" s="191"/>
      <c r="C39" s="162"/>
      <c r="D39" s="162"/>
      <c r="E39" s="162"/>
      <c r="F39" s="162"/>
      <c r="G39" s="162"/>
      <c r="H39" s="162"/>
      <c r="I39" s="161"/>
      <c r="K39" s="177">
        <v>0</v>
      </c>
      <c r="L39" s="184" t="s">
        <v>237</v>
      </c>
    </row>
    <row r="40" spans="1:16" x14ac:dyDescent="0.35">
      <c r="A40" s="188"/>
      <c r="B40" s="191"/>
      <c r="C40" s="162"/>
      <c r="D40" s="162"/>
      <c r="E40" s="162"/>
      <c r="F40" s="162"/>
      <c r="G40" s="162"/>
      <c r="H40" s="162"/>
      <c r="I40" s="161"/>
      <c r="K40" s="163"/>
      <c r="L40" s="165"/>
      <c r="M40" s="158"/>
      <c r="N40" s="158"/>
    </row>
    <row r="41" spans="1:16" x14ac:dyDescent="0.35">
      <c r="A41" s="188"/>
      <c r="B41" s="192"/>
      <c r="C41" s="193"/>
      <c r="D41" s="162"/>
      <c r="E41" s="162"/>
      <c r="F41" s="162"/>
      <c r="G41" s="162"/>
      <c r="H41" s="162"/>
      <c r="I41" s="161"/>
      <c r="K41" s="177"/>
      <c r="L41" s="194"/>
      <c r="M41" s="158"/>
      <c r="N41" s="158"/>
    </row>
    <row r="42" spans="1:16" x14ac:dyDescent="0.35">
      <c r="A42" s="188"/>
      <c r="B42" s="191"/>
      <c r="C42" s="162"/>
      <c r="D42" s="162"/>
      <c r="E42" s="162"/>
      <c r="F42" s="162"/>
      <c r="G42" s="162"/>
      <c r="H42" s="162"/>
      <c r="I42" s="161"/>
      <c r="P42" s="158"/>
    </row>
    <row r="43" spans="1:16" ht="24.6" x14ac:dyDescent="0.4">
      <c r="A43" s="188"/>
      <c r="B43" s="192"/>
      <c r="C43" s="193"/>
      <c r="D43" s="162"/>
      <c r="E43" s="213" t="s">
        <v>243</v>
      </c>
      <c r="F43" s="214"/>
      <c r="G43" s="214"/>
      <c r="H43" s="214"/>
      <c r="I43" s="215"/>
      <c r="J43" s="195">
        <f>J55</f>
        <v>1.9481918064908657</v>
      </c>
    </row>
    <row r="44" spans="1:16" x14ac:dyDescent="0.35">
      <c r="A44" s="188"/>
      <c r="B44" s="162"/>
      <c r="C44" s="162"/>
      <c r="D44" s="162"/>
      <c r="E44" s="162"/>
      <c r="F44" s="162"/>
      <c r="G44" s="162"/>
      <c r="H44" s="162"/>
    </row>
    <row r="45" spans="1:16" ht="24.6" x14ac:dyDescent="0.4">
      <c r="B45" s="192"/>
      <c r="C45" s="193"/>
      <c r="D45" s="162"/>
      <c r="E45" s="196"/>
      <c r="F45" s="196"/>
      <c r="G45" s="196"/>
      <c r="H45" s="196"/>
      <c r="I45" s="196"/>
      <c r="J45" s="197"/>
    </row>
    <row r="46" spans="1:16" ht="24.6" x14ac:dyDescent="0.4">
      <c r="B46" s="192"/>
      <c r="C46" s="193"/>
      <c r="D46" s="162"/>
      <c r="E46" s="213" t="s">
        <v>244</v>
      </c>
      <c r="F46" s="214"/>
      <c r="G46" s="214"/>
      <c r="H46" s="214"/>
      <c r="I46" s="215"/>
      <c r="J46" s="198">
        <f>'821M T4F'!U103</f>
        <v>1.1340245366048807</v>
      </c>
    </row>
    <row r="47" spans="1:16" x14ac:dyDescent="0.35">
      <c r="B47" s="162"/>
      <c r="C47" s="162"/>
      <c r="D47" s="162"/>
      <c r="E47" s="162"/>
      <c r="F47" s="162"/>
      <c r="G47" s="162"/>
      <c r="H47" s="162"/>
    </row>
    <row r="48" spans="1:16" x14ac:dyDescent="0.35">
      <c r="B48" s="192"/>
      <c r="C48" s="193"/>
      <c r="D48" s="199"/>
      <c r="E48" s="200"/>
      <c r="F48" s="200"/>
      <c r="G48" s="200"/>
      <c r="H48" s="200"/>
      <c r="I48" s="200"/>
      <c r="J48" s="200"/>
      <c r="K48" s="201"/>
    </row>
    <row r="49" spans="2:11" ht="24.6" x14ac:dyDescent="0.4">
      <c r="B49" s="162"/>
      <c r="C49" s="162"/>
      <c r="D49" s="163"/>
      <c r="E49" s="202" t="s">
        <v>238</v>
      </c>
      <c r="F49" s="164"/>
      <c r="G49" s="164"/>
      <c r="H49" s="164"/>
      <c r="I49" s="164"/>
      <c r="J49" s="164"/>
      <c r="K49" s="165"/>
    </row>
    <row r="50" spans="2:11" ht="24.6" x14ac:dyDescent="0.35">
      <c r="B50" s="192"/>
      <c r="C50" s="193"/>
      <c r="D50" s="163"/>
      <c r="E50" s="164"/>
      <c r="F50" s="164"/>
      <c r="G50" s="164"/>
      <c r="H50" s="164"/>
      <c r="I50" s="164"/>
      <c r="J50" s="203">
        <f>'[1]835 E T4F'!T107</f>
        <v>3.4255355714228566</v>
      </c>
      <c r="K50" s="204" t="s">
        <v>145</v>
      </c>
    </row>
    <row r="51" spans="2:11" ht="24.6" x14ac:dyDescent="0.4">
      <c r="B51" s="162"/>
      <c r="C51" s="162"/>
      <c r="D51" s="163"/>
      <c r="E51" s="164"/>
      <c r="F51" s="164"/>
      <c r="G51" s="164"/>
      <c r="H51" s="205"/>
      <c r="I51" s="206">
        <f>B37</f>
        <v>0.02</v>
      </c>
      <c r="J51" s="207">
        <f>(J50*(100%*I51))+J50</f>
        <v>3.4940462828513139</v>
      </c>
      <c r="K51" s="204" t="s">
        <v>146</v>
      </c>
    </row>
    <row r="52" spans="2:11" ht="24.6" x14ac:dyDescent="0.4">
      <c r="D52" s="163"/>
      <c r="E52" s="164"/>
      <c r="F52" s="164"/>
      <c r="G52" s="164"/>
      <c r="H52" s="164"/>
      <c r="I52" s="206">
        <f>+I51</f>
        <v>0.02</v>
      </c>
      <c r="J52" s="207">
        <f>(J51*(100%*I52))+J51</f>
        <v>3.56392720850834</v>
      </c>
      <c r="K52" s="204" t="s">
        <v>147</v>
      </c>
    </row>
    <row r="53" spans="2:11" ht="24.6" x14ac:dyDescent="0.4">
      <c r="D53" s="163"/>
      <c r="E53" s="164"/>
      <c r="F53" s="164"/>
      <c r="G53" s="164"/>
      <c r="H53" s="164"/>
      <c r="I53" s="206">
        <f>+I52</f>
        <v>0.02</v>
      </c>
      <c r="J53" s="207">
        <f>(J52*(100%*I53))+J52</f>
        <v>3.6352057526785067</v>
      </c>
      <c r="K53" s="204" t="s">
        <v>148</v>
      </c>
    </row>
    <row r="54" spans="2:11" ht="24.6" x14ac:dyDescent="0.4">
      <c r="D54" s="163"/>
      <c r="E54" s="164"/>
      <c r="F54" s="164"/>
      <c r="G54" s="164"/>
      <c r="H54" s="164"/>
      <c r="I54" s="208" t="str">
        <f>IF(B22=60,B37, "")</f>
        <v/>
      </c>
      <c r="J54" s="207" t="str">
        <f>IF(B22=60,(J53*(100%*I54))+J53, "")</f>
        <v/>
      </c>
      <c r="K54" s="209" t="str">
        <f>IF(B22=60,"year 5", "")</f>
        <v/>
      </c>
    </row>
    <row r="55" spans="2:11" ht="24.6" x14ac:dyDescent="0.4">
      <c r="D55" s="163"/>
      <c r="E55" s="213" t="s">
        <v>239</v>
      </c>
      <c r="F55" s="214"/>
      <c r="G55" s="214"/>
      <c r="H55" s="214"/>
      <c r="I55" s="215"/>
      <c r="J55" s="195">
        <f>'821M T4F'!T113</f>
        <v>1.9481918064908657</v>
      </c>
      <c r="K55" s="165"/>
    </row>
    <row r="56" spans="2:11" x14ac:dyDescent="0.35">
      <c r="D56" s="174"/>
      <c r="E56" s="175"/>
      <c r="F56" s="175"/>
      <c r="G56" s="175"/>
      <c r="H56" s="175"/>
      <c r="I56" s="175"/>
      <c r="J56" s="175"/>
      <c r="K56" s="176"/>
    </row>
  </sheetData>
  <sheetProtection algorithmName="SHA-512" hashValue="Q8STUqQQSrkYEjYqhe5ygbaQfIrs1QlBVLTQNl/Nyw9qjZ1fHZpBiIVvV9yoPs4BO8+u5HgM3qgKaMshBXJOhQ==" saltValue="kWlrLIktycpb7ReEpveJJw==" spinCount="100000" sheet="1" objects="1" scenarios="1"/>
  <mergeCells count="9">
    <mergeCell ref="E55:I55"/>
    <mergeCell ref="H12:J12"/>
    <mergeCell ref="H14:J14"/>
    <mergeCell ref="B20:G20"/>
    <mergeCell ref="K20:L20"/>
    <mergeCell ref="B29:I29"/>
    <mergeCell ref="K29:L29"/>
    <mergeCell ref="E43:I43"/>
    <mergeCell ref="E46:I4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Z159"/>
  <sheetViews>
    <sheetView tabSelected="1" topLeftCell="B1" zoomScale="80" zoomScaleNormal="80" workbookViewId="0">
      <pane ySplit="10" topLeftCell="A14" activePane="bottomLeft" state="frozen"/>
      <selection activeCell="B1" sqref="B1"/>
      <selection pane="bottomLeft" activeCell="C5" sqref="C5"/>
    </sheetView>
  </sheetViews>
  <sheetFormatPr defaultColWidth="9.109375" defaultRowHeight="15.6" x14ac:dyDescent="0.3"/>
  <cols>
    <col min="1" max="1" width="9.109375" style="1" hidden="1" customWidth="1"/>
    <col min="2" max="2" width="25.33203125" style="2" customWidth="1"/>
    <col min="3" max="3" width="25" style="1" customWidth="1"/>
    <col min="4" max="4" width="8.33203125" style="1" bestFit="1" customWidth="1"/>
    <col min="5" max="5" width="9.33203125" style="1" bestFit="1" customWidth="1"/>
    <col min="6" max="6" width="9.109375" style="1"/>
    <col min="7" max="7" width="9.33203125" style="1" bestFit="1" customWidth="1"/>
    <col min="8" max="8" width="9.109375" style="1"/>
    <col min="9" max="9" width="15.44140625" style="1" bestFit="1" customWidth="1"/>
    <col min="10" max="10" width="14.6640625" style="1" bestFit="1" customWidth="1"/>
    <col min="11" max="11" width="28" style="1" customWidth="1"/>
    <col min="12" max="12" width="14.109375" style="1" customWidth="1"/>
    <col min="13" max="13" width="13.6640625" style="1" customWidth="1"/>
    <col min="14" max="14" width="11.88671875" style="1" customWidth="1"/>
    <col min="15" max="15" width="9.109375" style="1"/>
    <col min="16" max="16" width="10.33203125" style="1" customWidth="1"/>
    <col min="17" max="17" width="15.33203125" style="1" bestFit="1" customWidth="1"/>
    <col min="18" max="18" width="9.33203125" style="1" bestFit="1" customWidth="1"/>
    <col min="19" max="19" width="12.88671875" style="1" customWidth="1"/>
    <col min="20" max="20" width="19.6640625" style="1" bestFit="1" customWidth="1"/>
    <col min="21" max="21" width="9.109375" style="1"/>
    <col min="22" max="22" width="15.88671875" style="1" customWidth="1"/>
    <col min="23" max="23" width="9.109375" style="1"/>
    <col min="24" max="24" width="15" style="1" bestFit="1" customWidth="1"/>
    <col min="25" max="25" width="7.6640625" style="1" customWidth="1"/>
    <col min="26" max="26" width="14.44140625" style="3" bestFit="1" customWidth="1"/>
    <col min="27" max="16384" width="9.109375" style="1"/>
  </cols>
  <sheetData>
    <row r="1" spans="1:26" hidden="1" x14ac:dyDescent="0.3">
      <c r="A1" s="1" t="s">
        <v>0</v>
      </c>
      <c r="B1" s="2" t="s">
        <v>1</v>
      </c>
    </row>
    <row r="2" spans="1:26" ht="17.399999999999999" x14ac:dyDescent="0.3">
      <c r="B2" s="4" t="s">
        <v>1</v>
      </c>
      <c r="C2" s="5" t="s">
        <v>196</v>
      </c>
      <c r="D2" s="6"/>
      <c r="E2" s="6"/>
      <c r="F2" s="6"/>
      <c r="G2" s="6"/>
      <c r="H2" s="6"/>
      <c r="I2" s="5"/>
      <c r="J2" s="6"/>
      <c r="K2" s="7"/>
      <c r="L2" s="8"/>
      <c r="M2" s="9"/>
      <c r="N2" s="8"/>
      <c r="O2" s="8"/>
      <c r="P2" s="8"/>
      <c r="Q2" s="10"/>
      <c r="R2" s="10"/>
      <c r="S2" s="10"/>
      <c r="T2" s="10"/>
      <c r="U2" s="8"/>
      <c r="V2" s="11"/>
      <c r="W2" s="11"/>
      <c r="X2" s="12"/>
      <c r="Y2" s="12"/>
      <c r="Z2" s="13"/>
    </row>
    <row r="3" spans="1:26" ht="17.399999999999999" x14ac:dyDescent="0.3">
      <c r="B3" s="4" t="s">
        <v>1</v>
      </c>
      <c r="C3" s="6"/>
      <c r="D3" s="6"/>
      <c r="E3" s="6"/>
      <c r="F3" s="6"/>
      <c r="G3" s="6"/>
      <c r="H3" s="6"/>
      <c r="I3" s="6"/>
      <c r="J3" s="6"/>
      <c r="K3" s="7"/>
      <c r="L3" s="8"/>
      <c r="M3" s="9"/>
      <c r="N3" s="8"/>
      <c r="O3" s="8"/>
      <c r="P3" s="8"/>
      <c r="Q3" s="10"/>
      <c r="R3" s="10"/>
      <c r="S3" s="10"/>
      <c r="T3" s="10"/>
      <c r="U3" s="8"/>
      <c r="V3" s="11"/>
      <c r="W3" s="11"/>
      <c r="X3" s="12"/>
      <c r="Y3" s="12"/>
      <c r="Z3" s="13"/>
    </row>
    <row r="4" spans="1:26" ht="17.399999999999999" x14ac:dyDescent="0.3">
      <c r="B4" s="4" t="s">
        <v>1</v>
      </c>
      <c r="C4" s="14" t="s">
        <v>258</v>
      </c>
      <c r="D4" s="6"/>
      <c r="E4" s="6"/>
      <c r="F4" s="6"/>
      <c r="G4" s="6"/>
      <c r="H4" s="6"/>
      <c r="I4" s="14">
        <f>'cover sheet'!B22</f>
        <v>12</v>
      </c>
      <c r="J4" s="5" t="s">
        <v>2</v>
      </c>
      <c r="K4" s="15"/>
      <c r="L4" s="8"/>
      <c r="M4" s="9"/>
      <c r="N4" s="8"/>
      <c r="O4" s="8"/>
      <c r="P4" s="8"/>
      <c r="Q4" s="10"/>
      <c r="R4" s="10"/>
      <c r="S4" s="10"/>
      <c r="T4" s="10"/>
      <c r="U4" s="8"/>
      <c r="V4" s="11"/>
      <c r="W4" s="11"/>
      <c r="X4" s="12"/>
      <c r="Y4" s="12"/>
      <c r="Z4" s="13"/>
    </row>
    <row r="5" spans="1:26" ht="17.399999999999999" x14ac:dyDescent="0.3">
      <c r="B5" s="4" t="s">
        <v>1</v>
      </c>
      <c r="C5" s="6"/>
      <c r="D5" s="6"/>
      <c r="E5" s="6"/>
      <c r="F5" s="6"/>
      <c r="G5" s="6"/>
      <c r="H5" s="6"/>
      <c r="I5" s="212">
        <f>'cover sheet'!B23</f>
        <v>250</v>
      </c>
      <c r="J5" s="5" t="s">
        <v>3</v>
      </c>
      <c r="K5" s="15"/>
      <c r="L5" s="8"/>
      <c r="M5" s="9"/>
      <c r="N5" s="8"/>
      <c r="O5" s="8"/>
      <c r="P5" s="8"/>
      <c r="Q5" s="10"/>
      <c r="R5" s="10"/>
      <c r="S5" s="10"/>
      <c r="T5" s="10"/>
      <c r="U5" s="8"/>
      <c r="V5" s="11"/>
      <c r="W5" s="11"/>
      <c r="X5" s="16" t="s">
        <v>4</v>
      </c>
      <c r="Y5" s="16"/>
      <c r="Z5" s="13"/>
    </row>
    <row r="6" spans="1:26" ht="17.399999999999999" x14ac:dyDescent="0.3">
      <c r="B6" s="4" t="s">
        <v>1</v>
      </c>
      <c r="C6" s="17"/>
      <c r="D6" s="6"/>
      <c r="E6" s="6"/>
      <c r="F6" s="6"/>
      <c r="G6" s="6"/>
      <c r="H6" s="6"/>
      <c r="I6" s="18">
        <f>'cover sheet'!B24</f>
        <v>3000</v>
      </c>
      <c r="J6" s="5" t="s">
        <v>5</v>
      </c>
      <c r="K6" s="15"/>
      <c r="L6" s="8"/>
      <c r="M6" s="9"/>
      <c r="N6" s="8"/>
      <c r="O6" s="8"/>
      <c r="P6" s="19"/>
      <c r="Q6" s="10"/>
      <c r="R6" s="10"/>
      <c r="S6" s="10"/>
      <c r="T6" s="10"/>
      <c r="U6" s="8"/>
      <c r="V6" s="11"/>
      <c r="W6" s="11"/>
      <c r="X6" s="16" t="s">
        <v>6</v>
      </c>
      <c r="Y6" s="16"/>
      <c r="Z6" s="13"/>
    </row>
    <row r="7" spans="1:26" x14ac:dyDescent="0.3">
      <c r="B7" s="20" t="s">
        <v>1</v>
      </c>
      <c r="C7" s="21"/>
      <c r="D7" s="22"/>
      <c r="E7" s="22"/>
      <c r="F7" s="22"/>
      <c r="G7" s="22"/>
      <c r="H7" s="22"/>
      <c r="I7" s="22"/>
      <c r="J7" s="22"/>
      <c r="K7" s="23"/>
      <c r="L7" s="22"/>
      <c r="M7" s="24"/>
      <c r="N7" s="22"/>
      <c r="O7" s="22"/>
      <c r="P7" s="22"/>
      <c r="Q7" s="23"/>
      <c r="R7" s="23"/>
      <c r="S7" s="23"/>
      <c r="T7" s="23"/>
      <c r="U7" s="22"/>
      <c r="V7" s="16"/>
      <c r="W7" s="16"/>
      <c r="X7" s="16" t="s">
        <v>7</v>
      </c>
      <c r="Y7" s="16"/>
      <c r="Z7" s="13"/>
    </row>
    <row r="8" spans="1:26" ht="17.399999999999999" x14ac:dyDescent="0.3">
      <c r="B8" s="25" t="s">
        <v>8</v>
      </c>
      <c r="C8" s="26"/>
      <c r="D8" s="22"/>
      <c r="E8" s="22"/>
      <c r="F8" s="22"/>
      <c r="G8" s="22"/>
      <c r="H8" s="22"/>
      <c r="I8" s="16"/>
      <c r="J8" s="22"/>
      <c r="K8" s="27"/>
      <c r="L8" s="22"/>
      <c r="M8" s="28"/>
      <c r="N8" s="22"/>
      <c r="O8" s="22"/>
      <c r="P8" s="16"/>
      <c r="Q8" s="23"/>
      <c r="R8" s="23"/>
      <c r="S8" s="23"/>
      <c r="T8" s="23"/>
      <c r="U8" s="22"/>
      <c r="V8" s="16"/>
      <c r="W8" s="29"/>
      <c r="X8" s="30">
        <f>'cover sheet'!B33</f>
        <v>0</v>
      </c>
      <c r="Y8" s="16"/>
      <c r="Z8" s="13"/>
    </row>
    <row r="9" spans="1:26" s="31" customFormat="1" x14ac:dyDescent="0.3">
      <c r="B9" s="32" t="s">
        <v>1</v>
      </c>
      <c r="C9" s="33"/>
      <c r="D9" s="33"/>
      <c r="E9" s="33"/>
      <c r="F9" s="33"/>
      <c r="G9" s="34"/>
      <c r="H9" s="33"/>
      <c r="I9" s="34" t="s">
        <v>9</v>
      </c>
      <c r="J9" s="33"/>
      <c r="K9" s="35" t="s">
        <v>10</v>
      </c>
      <c r="L9" s="33"/>
      <c r="M9" s="36"/>
      <c r="N9" s="33"/>
      <c r="O9" s="33"/>
      <c r="P9" s="34"/>
      <c r="Q9" s="33"/>
      <c r="R9" s="33"/>
      <c r="S9" s="37" t="s">
        <v>11</v>
      </c>
      <c r="T9" s="38"/>
      <c r="U9" s="33"/>
      <c r="V9" s="34" t="s">
        <v>12</v>
      </c>
      <c r="W9" s="39"/>
      <c r="X9" s="35" t="s">
        <v>6</v>
      </c>
      <c r="Y9" s="16"/>
      <c r="Z9" s="40" t="s">
        <v>13</v>
      </c>
    </row>
    <row r="10" spans="1:26" s="31" customFormat="1" x14ac:dyDescent="0.3">
      <c r="B10" s="32" t="s">
        <v>14</v>
      </c>
      <c r="C10" s="34" t="s">
        <v>15</v>
      </c>
      <c r="D10" s="33"/>
      <c r="E10" s="34" t="s">
        <v>16</v>
      </c>
      <c r="F10" s="33"/>
      <c r="G10" s="34"/>
      <c r="H10" s="33"/>
      <c r="I10" s="34" t="s">
        <v>17</v>
      </c>
      <c r="J10" s="33"/>
      <c r="K10" s="35" t="s">
        <v>18</v>
      </c>
      <c r="L10" s="33"/>
      <c r="M10" s="36"/>
      <c r="N10" s="33"/>
      <c r="O10" s="33"/>
      <c r="P10" s="34"/>
      <c r="Q10" s="34"/>
      <c r="R10" s="33"/>
      <c r="S10" s="41" t="s">
        <v>19</v>
      </c>
      <c r="T10" s="35" t="s">
        <v>20</v>
      </c>
      <c r="U10" s="33"/>
      <c r="V10" s="34" t="s">
        <v>21</v>
      </c>
      <c r="W10" s="39"/>
      <c r="X10" s="35" t="s">
        <v>22</v>
      </c>
      <c r="Y10" s="35"/>
      <c r="Z10" s="40" t="s">
        <v>6</v>
      </c>
    </row>
    <row r="11" spans="1:26" s="31" customFormat="1" x14ac:dyDescent="0.3">
      <c r="B11" s="32" t="s">
        <v>23</v>
      </c>
      <c r="C11" s="42"/>
      <c r="D11" s="42"/>
      <c r="E11" s="42"/>
      <c r="F11" s="42"/>
      <c r="G11" s="42"/>
      <c r="H11" s="42"/>
      <c r="I11" s="42"/>
      <c r="J11" s="42"/>
      <c r="K11" s="43"/>
      <c r="L11" s="42"/>
      <c r="M11" s="44"/>
      <c r="N11" s="42"/>
      <c r="O11" s="42"/>
      <c r="P11" s="45">
        <f>I6-0.4</f>
        <v>2999.6</v>
      </c>
      <c r="Q11" s="33"/>
      <c r="R11" s="42"/>
      <c r="S11" s="46"/>
      <c r="T11" s="43"/>
      <c r="U11" s="42"/>
      <c r="V11" s="34" t="s">
        <v>24</v>
      </c>
      <c r="W11" s="47"/>
      <c r="X11" s="34" t="s">
        <v>25</v>
      </c>
      <c r="Y11" s="34"/>
      <c r="Z11" s="40" t="s">
        <v>25</v>
      </c>
    </row>
    <row r="12" spans="1:26" s="31" customFormat="1" ht="15" x14ac:dyDescent="0.25">
      <c r="B12" s="48" t="s">
        <v>245</v>
      </c>
      <c r="C12" s="42" t="s">
        <v>26</v>
      </c>
      <c r="D12" s="42"/>
      <c r="E12" s="49">
        <v>1</v>
      </c>
      <c r="F12" s="42"/>
      <c r="G12" s="42"/>
      <c r="H12" s="42"/>
      <c r="I12" s="50">
        <v>25000</v>
      </c>
      <c r="J12" s="44"/>
      <c r="K12" s="51">
        <v>0</v>
      </c>
      <c r="L12" s="42"/>
      <c r="M12" s="44"/>
      <c r="N12" s="44"/>
      <c r="O12" s="44"/>
      <c r="P12" s="46"/>
      <c r="Q12" s="52"/>
      <c r="R12" s="42"/>
      <c r="S12" s="53">
        <f t="shared" ref="S12:S22" si="0">(IF(I12&gt;$P$11,0,E12))*(ROUNDDOWN($P$11/I12,0))</f>
        <v>0</v>
      </c>
      <c r="T12" s="43">
        <f t="shared" ref="T12:T22" si="1">S12*K12</f>
        <v>0</v>
      </c>
      <c r="U12" s="42"/>
      <c r="V12" s="54">
        <v>10</v>
      </c>
      <c r="W12" s="55"/>
      <c r="X12" s="56">
        <f t="shared" ref="X12:X18" si="2">IF(S12=0,0,V12*$X$8*S12)</f>
        <v>0</v>
      </c>
      <c r="Y12" s="56"/>
      <c r="Z12" s="57">
        <f t="shared" ref="Z12:Z18" si="3">+X12+T12</f>
        <v>0</v>
      </c>
    </row>
    <row r="13" spans="1:26" s="31" customFormat="1" ht="15" x14ac:dyDescent="0.25">
      <c r="B13" s="48" t="s">
        <v>246</v>
      </c>
      <c r="C13" s="42" t="s">
        <v>27</v>
      </c>
      <c r="D13" s="42"/>
      <c r="E13" s="49">
        <v>1</v>
      </c>
      <c r="F13" s="42"/>
      <c r="G13" s="58"/>
      <c r="H13" s="42"/>
      <c r="I13" s="50">
        <v>25000</v>
      </c>
      <c r="J13" s="44"/>
      <c r="K13" s="51">
        <v>14496.1</v>
      </c>
      <c r="L13" s="42"/>
      <c r="M13" s="44"/>
      <c r="N13" s="44"/>
      <c r="O13" s="44"/>
      <c r="P13" s="46"/>
      <c r="Q13" s="52"/>
      <c r="R13" s="42"/>
      <c r="S13" s="53">
        <f t="shared" si="0"/>
        <v>0</v>
      </c>
      <c r="T13" s="43">
        <f t="shared" si="1"/>
        <v>0</v>
      </c>
      <c r="U13" s="42"/>
      <c r="V13" s="54">
        <v>5</v>
      </c>
      <c r="W13" s="55"/>
      <c r="X13" s="56">
        <f t="shared" si="2"/>
        <v>0</v>
      </c>
      <c r="Y13" s="56"/>
      <c r="Z13" s="57">
        <f t="shared" si="3"/>
        <v>0</v>
      </c>
    </row>
    <row r="14" spans="1:26" s="31" customFormat="1" ht="15" x14ac:dyDescent="0.25">
      <c r="B14" s="48" t="s">
        <v>247</v>
      </c>
      <c r="C14" s="42" t="s">
        <v>28</v>
      </c>
      <c r="D14" s="42"/>
      <c r="E14" s="49">
        <v>1</v>
      </c>
      <c r="F14" s="42"/>
      <c r="G14" s="58"/>
      <c r="H14" s="42"/>
      <c r="I14" s="50">
        <v>25000</v>
      </c>
      <c r="J14" s="44"/>
      <c r="K14" s="51">
        <v>10698.56</v>
      </c>
      <c r="L14" s="42"/>
      <c r="M14" s="44"/>
      <c r="N14" s="44"/>
      <c r="O14" s="44"/>
      <c r="P14" s="46"/>
      <c r="Q14" s="52"/>
      <c r="R14" s="42"/>
      <c r="S14" s="53">
        <f t="shared" si="0"/>
        <v>0</v>
      </c>
      <c r="T14" s="43">
        <f t="shared" si="1"/>
        <v>0</v>
      </c>
      <c r="U14" s="42"/>
      <c r="V14" s="54">
        <v>6</v>
      </c>
      <c r="W14" s="55"/>
      <c r="X14" s="56">
        <f t="shared" si="2"/>
        <v>0</v>
      </c>
      <c r="Y14" s="56"/>
      <c r="Z14" s="57">
        <f t="shared" si="3"/>
        <v>0</v>
      </c>
    </row>
    <row r="15" spans="1:26" s="31" customFormat="1" ht="15" x14ac:dyDescent="0.25">
      <c r="B15" s="48" t="s">
        <v>248</v>
      </c>
      <c r="C15" s="42" t="s">
        <v>29</v>
      </c>
      <c r="D15" s="42"/>
      <c r="E15" s="49">
        <v>1</v>
      </c>
      <c r="F15" s="42"/>
      <c r="G15" s="55"/>
      <c r="H15" s="42"/>
      <c r="I15" s="50">
        <v>12500</v>
      </c>
      <c r="J15" s="44"/>
      <c r="K15" s="51">
        <v>22711.86</v>
      </c>
      <c r="L15" s="42"/>
      <c r="M15" s="44"/>
      <c r="N15" s="44"/>
      <c r="O15" s="44"/>
      <c r="P15" s="46"/>
      <c r="Q15" s="52"/>
      <c r="R15" s="42"/>
      <c r="S15" s="53">
        <f t="shared" si="0"/>
        <v>0</v>
      </c>
      <c r="T15" s="43">
        <f t="shared" si="1"/>
        <v>0</v>
      </c>
      <c r="U15" s="42"/>
      <c r="V15" s="54">
        <v>32</v>
      </c>
      <c r="W15" s="55"/>
      <c r="X15" s="56">
        <f t="shared" si="2"/>
        <v>0</v>
      </c>
      <c r="Y15" s="56"/>
      <c r="Z15" s="57">
        <f t="shared" si="3"/>
        <v>0</v>
      </c>
    </row>
    <row r="16" spans="1:26" s="31" customFormat="1" ht="15" x14ac:dyDescent="0.25">
      <c r="B16" s="48" t="s">
        <v>197</v>
      </c>
      <c r="C16" s="42" t="s">
        <v>30</v>
      </c>
      <c r="D16" s="42"/>
      <c r="E16" s="49">
        <v>1</v>
      </c>
      <c r="F16" s="42"/>
      <c r="G16" s="55"/>
      <c r="H16" s="42"/>
      <c r="I16" s="50">
        <v>15000</v>
      </c>
      <c r="J16" s="44"/>
      <c r="K16" s="51">
        <v>6748.84</v>
      </c>
      <c r="L16" s="42"/>
      <c r="M16" s="44"/>
      <c r="N16" s="44"/>
      <c r="O16" s="44"/>
      <c r="P16" s="46"/>
      <c r="Q16" s="52"/>
      <c r="R16" s="42"/>
      <c r="S16" s="53">
        <f t="shared" si="0"/>
        <v>0</v>
      </c>
      <c r="T16" s="43">
        <f t="shared" si="1"/>
        <v>0</v>
      </c>
      <c r="U16" s="42"/>
      <c r="V16" s="54">
        <v>2</v>
      </c>
      <c r="W16" s="55"/>
      <c r="X16" s="56">
        <f t="shared" si="2"/>
        <v>0</v>
      </c>
      <c r="Y16" s="56"/>
      <c r="Z16" s="57">
        <f t="shared" si="3"/>
        <v>0</v>
      </c>
    </row>
    <row r="17" spans="2:26" s="31" customFormat="1" ht="15" x14ac:dyDescent="0.25">
      <c r="B17" s="59" t="s">
        <v>1</v>
      </c>
      <c r="C17" s="42" t="s">
        <v>31</v>
      </c>
      <c r="D17" s="42"/>
      <c r="E17" s="49">
        <v>1</v>
      </c>
      <c r="F17" s="42"/>
      <c r="G17" s="55"/>
      <c r="H17" s="42"/>
      <c r="I17" s="50">
        <v>12500</v>
      </c>
      <c r="J17" s="44"/>
      <c r="K17" s="51">
        <v>0</v>
      </c>
      <c r="L17" s="42"/>
      <c r="M17" s="44"/>
      <c r="N17" s="44"/>
      <c r="O17" s="44"/>
      <c r="P17" s="46"/>
      <c r="Q17" s="52"/>
      <c r="R17" s="42"/>
      <c r="S17" s="53">
        <f t="shared" si="0"/>
        <v>0</v>
      </c>
      <c r="T17" s="43">
        <f t="shared" si="1"/>
        <v>0</v>
      </c>
      <c r="U17" s="42"/>
      <c r="V17" s="54">
        <v>12</v>
      </c>
      <c r="W17" s="55"/>
      <c r="X17" s="56">
        <f t="shared" si="2"/>
        <v>0</v>
      </c>
      <c r="Y17" s="56"/>
      <c r="Z17" s="57">
        <f t="shared" si="3"/>
        <v>0</v>
      </c>
    </row>
    <row r="18" spans="2:26" s="31" customFormat="1" ht="15" x14ac:dyDescent="0.25">
      <c r="B18" s="48" t="s">
        <v>32</v>
      </c>
      <c r="C18" s="42" t="s">
        <v>33</v>
      </c>
      <c r="D18" s="42"/>
      <c r="E18" s="49">
        <v>1</v>
      </c>
      <c r="F18" s="42"/>
      <c r="G18" s="55"/>
      <c r="H18" s="42"/>
      <c r="I18" s="50">
        <v>12000</v>
      </c>
      <c r="J18" s="44"/>
      <c r="K18" s="51">
        <v>3767</v>
      </c>
      <c r="L18" s="42"/>
      <c r="M18" s="44"/>
      <c r="N18" s="44"/>
      <c r="O18" s="44"/>
      <c r="P18" s="46"/>
      <c r="Q18" s="52"/>
      <c r="R18" s="42"/>
      <c r="S18" s="53">
        <f t="shared" si="0"/>
        <v>0</v>
      </c>
      <c r="T18" s="43">
        <f t="shared" si="1"/>
        <v>0</v>
      </c>
      <c r="U18" s="42"/>
      <c r="V18" s="54">
        <v>1.5</v>
      </c>
      <c r="W18" s="55"/>
      <c r="X18" s="56">
        <f t="shared" si="2"/>
        <v>0</v>
      </c>
      <c r="Y18" s="56"/>
      <c r="Z18" s="57">
        <f t="shared" si="3"/>
        <v>0</v>
      </c>
    </row>
    <row r="19" spans="2:26" s="31" customFormat="1" ht="15" x14ac:dyDescent="0.25">
      <c r="B19" s="48" t="s">
        <v>34</v>
      </c>
      <c r="C19" s="42" t="s">
        <v>35</v>
      </c>
      <c r="D19" s="42"/>
      <c r="E19" s="49">
        <v>1</v>
      </c>
      <c r="F19" s="42"/>
      <c r="G19" s="55"/>
      <c r="H19" s="42"/>
      <c r="I19" s="50">
        <v>12000</v>
      </c>
      <c r="J19" s="44"/>
      <c r="K19" s="51">
        <v>8502.6</v>
      </c>
      <c r="L19" s="42"/>
      <c r="M19" s="44"/>
      <c r="N19" s="44"/>
      <c r="O19" s="44"/>
      <c r="P19" s="46"/>
      <c r="Q19" s="52"/>
      <c r="R19" s="42"/>
      <c r="S19" s="53">
        <f t="shared" si="0"/>
        <v>0</v>
      </c>
      <c r="T19" s="43">
        <f t="shared" si="1"/>
        <v>0</v>
      </c>
      <c r="U19" s="42"/>
      <c r="V19" s="54">
        <v>7</v>
      </c>
      <c r="W19" s="55"/>
      <c r="X19" s="56">
        <f>IF(S19=0,0,V19*$X$8*S19)</f>
        <v>0</v>
      </c>
      <c r="Y19" s="56"/>
      <c r="Z19" s="57">
        <f>+X19+T19</f>
        <v>0</v>
      </c>
    </row>
    <row r="20" spans="2:26" s="31" customFormat="1" ht="15" x14ac:dyDescent="0.25">
      <c r="B20" s="48" t="s">
        <v>36</v>
      </c>
      <c r="C20" s="42" t="s">
        <v>37</v>
      </c>
      <c r="D20" s="42"/>
      <c r="E20" s="49">
        <v>1</v>
      </c>
      <c r="F20" s="42"/>
      <c r="G20" s="55"/>
      <c r="H20" s="42"/>
      <c r="I20" s="50">
        <v>20000</v>
      </c>
      <c r="J20" s="44"/>
      <c r="K20" s="51">
        <v>7040.93</v>
      </c>
      <c r="L20" s="42"/>
      <c r="M20" s="44"/>
      <c r="N20" s="44"/>
      <c r="O20" s="44"/>
      <c r="P20" s="46"/>
      <c r="Q20" s="52"/>
      <c r="R20" s="42"/>
      <c r="S20" s="53">
        <f t="shared" si="0"/>
        <v>0</v>
      </c>
      <c r="T20" s="43">
        <f t="shared" si="1"/>
        <v>0</v>
      </c>
      <c r="U20" s="42"/>
      <c r="V20" s="54">
        <v>40</v>
      </c>
      <c r="W20" s="55"/>
      <c r="X20" s="56">
        <f>IF(S20=0,0,V20*$X$8*S20)</f>
        <v>0</v>
      </c>
      <c r="Y20" s="56"/>
      <c r="Z20" s="57">
        <f>+X20+T20</f>
        <v>0</v>
      </c>
    </row>
    <row r="21" spans="2:26" s="31" customFormat="1" ht="15" x14ac:dyDescent="0.25">
      <c r="B21" s="48" t="s">
        <v>38</v>
      </c>
      <c r="C21" s="42" t="s">
        <v>39</v>
      </c>
      <c r="D21" s="42"/>
      <c r="E21" s="49">
        <v>1</v>
      </c>
      <c r="F21" s="42"/>
      <c r="G21" s="55"/>
      <c r="H21" s="42"/>
      <c r="I21" s="50">
        <v>15000</v>
      </c>
      <c r="J21" s="44"/>
      <c r="K21" s="51">
        <v>10498.33</v>
      </c>
      <c r="L21" s="42"/>
      <c r="M21" s="44"/>
      <c r="N21" s="44"/>
      <c r="O21" s="44"/>
      <c r="P21" s="46"/>
      <c r="Q21" s="52"/>
      <c r="R21" s="42"/>
      <c r="S21" s="53">
        <f t="shared" si="0"/>
        <v>0</v>
      </c>
      <c r="T21" s="43">
        <f t="shared" si="1"/>
        <v>0</v>
      </c>
      <c r="U21" s="42"/>
      <c r="V21" s="54">
        <v>6.5</v>
      </c>
      <c r="W21" s="55"/>
      <c r="X21" s="56">
        <f>IF(S21=0,0,V21*$X$8*S21)</f>
        <v>0</v>
      </c>
      <c r="Y21" s="56"/>
      <c r="Z21" s="57">
        <f>+X21+T21</f>
        <v>0</v>
      </c>
    </row>
    <row r="22" spans="2:26" s="31" customFormat="1" ht="15" x14ac:dyDescent="0.25">
      <c r="B22" s="48" t="s">
        <v>40</v>
      </c>
      <c r="C22" s="42" t="s">
        <v>41</v>
      </c>
      <c r="D22" s="42"/>
      <c r="E22" s="49">
        <v>1</v>
      </c>
      <c r="F22" s="42"/>
      <c r="G22" s="55"/>
      <c r="H22" s="42"/>
      <c r="I22" s="50">
        <v>20000</v>
      </c>
      <c r="J22" s="44"/>
      <c r="K22" s="51">
        <v>9782.18</v>
      </c>
      <c r="L22" s="42"/>
      <c r="M22" s="44"/>
      <c r="N22" s="44"/>
      <c r="O22" s="44"/>
      <c r="P22" s="46"/>
      <c r="Q22" s="52"/>
      <c r="R22" s="42"/>
      <c r="S22" s="53">
        <f t="shared" si="0"/>
        <v>0</v>
      </c>
      <c r="T22" s="43">
        <f t="shared" si="1"/>
        <v>0</v>
      </c>
      <c r="U22" s="42"/>
      <c r="V22" s="54">
        <v>4</v>
      </c>
      <c r="W22" s="55"/>
      <c r="X22" s="56">
        <f>IF(S22=0,0,V22*$X$8*S22)</f>
        <v>0</v>
      </c>
      <c r="Y22" s="56"/>
      <c r="Z22" s="57">
        <f>+X22+T22</f>
        <v>0</v>
      </c>
    </row>
    <row r="23" spans="2:26" s="31" customFormat="1" ht="15" x14ac:dyDescent="0.25">
      <c r="B23" s="59" t="s">
        <v>1</v>
      </c>
      <c r="C23" s="42"/>
      <c r="D23" s="42"/>
      <c r="E23" s="42"/>
      <c r="F23" s="42"/>
      <c r="G23" s="55"/>
      <c r="H23" s="42"/>
      <c r="I23" s="44"/>
      <c r="J23" s="44"/>
      <c r="K23" s="44"/>
      <c r="L23" s="42"/>
      <c r="M23" s="44"/>
      <c r="N23" s="44"/>
      <c r="O23" s="44"/>
      <c r="P23" s="46"/>
      <c r="Q23" s="52"/>
      <c r="R23" s="42"/>
      <c r="S23" s="53"/>
      <c r="T23" s="43"/>
      <c r="U23" s="42"/>
      <c r="V23" s="55"/>
      <c r="W23" s="55"/>
      <c r="X23" s="56"/>
      <c r="Y23" s="56"/>
      <c r="Z23" s="60"/>
    </row>
    <row r="24" spans="2:26" s="31" customFormat="1" x14ac:dyDescent="0.3">
      <c r="B24" s="32" t="s">
        <v>1</v>
      </c>
      <c r="C24" s="42"/>
      <c r="D24" s="42"/>
      <c r="E24" s="42"/>
      <c r="F24" s="42"/>
      <c r="G24" s="55"/>
      <c r="H24" s="42"/>
      <c r="I24" s="44"/>
      <c r="J24" s="44"/>
      <c r="K24" s="44"/>
      <c r="L24" s="42"/>
      <c r="M24" s="44"/>
      <c r="N24" s="44"/>
      <c r="O24" s="44"/>
      <c r="P24" s="46"/>
      <c r="Q24" s="52"/>
      <c r="R24" s="42"/>
      <c r="S24" s="53"/>
      <c r="T24" s="43"/>
      <c r="U24" s="42"/>
      <c r="V24" s="55"/>
      <c r="W24" s="55"/>
      <c r="X24" s="56"/>
      <c r="Y24" s="56"/>
      <c r="Z24" s="60"/>
    </row>
    <row r="25" spans="2:26" s="31" customFormat="1" ht="15" x14ac:dyDescent="0.25">
      <c r="B25" s="61" t="s">
        <v>42</v>
      </c>
      <c r="C25" s="42" t="s">
        <v>43</v>
      </c>
      <c r="D25" s="42"/>
      <c r="E25" s="49">
        <v>1</v>
      </c>
      <c r="F25" s="42"/>
      <c r="G25" s="55"/>
      <c r="H25" s="42"/>
      <c r="I25" s="50">
        <v>10000</v>
      </c>
      <c r="J25" s="44"/>
      <c r="K25" s="51">
        <v>713.55</v>
      </c>
      <c r="L25" s="42"/>
      <c r="M25" s="44"/>
      <c r="N25" s="44"/>
      <c r="O25" s="44"/>
      <c r="P25" s="46"/>
      <c r="Q25" s="52"/>
      <c r="R25" s="42"/>
      <c r="S25" s="53">
        <f t="shared" ref="S25:S30" si="4">(IF(I25&gt;$P$11,0,E25))*(ROUNDDOWN($P$11/I25,0))</f>
        <v>0</v>
      </c>
      <c r="T25" s="43">
        <f t="shared" ref="T25:T30" si="5">S25*K25</f>
        <v>0</v>
      </c>
      <c r="U25" s="42"/>
      <c r="V25" s="54">
        <v>1.5</v>
      </c>
      <c r="W25" s="55"/>
      <c r="X25" s="56">
        <f t="shared" ref="X25:X30" si="6">IF(S25=0,0,V25*$X$8*S25)</f>
        <v>0</v>
      </c>
      <c r="Y25" s="56"/>
      <c r="Z25" s="57">
        <f t="shared" ref="Z25:Z30" si="7">+X25+T25</f>
        <v>0</v>
      </c>
    </row>
    <row r="26" spans="2:26" s="31" customFormat="1" ht="15" x14ac:dyDescent="0.25">
      <c r="B26" s="61" t="s">
        <v>215</v>
      </c>
      <c r="C26" s="42" t="s">
        <v>44</v>
      </c>
      <c r="D26" s="42"/>
      <c r="E26" s="49">
        <v>1</v>
      </c>
      <c r="F26" s="42"/>
      <c r="G26" s="55"/>
      <c r="H26" s="42"/>
      <c r="I26" s="50">
        <v>8000</v>
      </c>
      <c r="J26" s="44"/>
      <c r="K26" s="51">
        <v>4131.3599999999997</v>
      </c>
      <c r="L26" s="42"/>
      <c r="M26" s="44"/>
      <c r="N26" s="44"/>
      <c r="O26" s="44"/>
      <c r="P26" s="46"/>
      <c r="Q26" s="52"/>
      <c r="R26" s="42"/>
      <c r="S26" s="53">
        <f t="shared" si="4"/>
        <v>0</v>
      </c>
      <c r="T26" s="43">
        <f t="shared" si="5"/>
        <v>0</v>
      </c>
      <c r="U26" s="42"/>
      <c r="V26" s="54">
        <v>2</v>
      </c>
      <c r="W26" s="55"/>
      <c r="X26" s="56">
        <f t="shared" si="6"/>
        <v>0</v>
      </c>
      <c r="Y26" s="56"/>
      <c r="Z26" s="57">
        <f t="shared" si="7"/>
        <v>0</v>
      </c>
    </row>
    <row r="27" spans="2:26" s="31" customFormat="1" ht="15" x14ac:dyDescent="0.25">
      <c r="B27" s="61" t="s">
        <v>218</v>
      </c>
      <c r="C27" s="42" t="s">
        <v>45</v>
      </c>
      <c r="D27" s="42"/>
      <c r="E27" s="49">
        <v>4</v>
      </c>
      <c r="F27" s="42"/>
      <c r="G27" s="55"/>
      <c r="H27" s="42"/>
      <c r="I27" s="50">
        <v>5000</v>
      </c>
      <c r="J27" s="44"/>
      <c r="K27" s="51">
        <v>955.85</v>
      </c>
      <c r="L27" s="42"/>
      <c r="M27" s="44"/>
      <c r="N27" s="44"/>
      <c r="O27" s="44"/>
      <c r="P27" s="46"/>
      <c r="Q27" s="52"/>
      <c r="R27" s="42"/>
      <c r="S27" s="53">
        <f t="shared" si="4"/>
        <v>0</v>
      </c>
      <c r="T27" s="43">
        <f t="shared" si="5"/>
        <v>0</v>
      </c>
      <c r="U27" s="42"/>
      <c r="V27" s="54">
        <v>8</v>
      </c>
      <c r="W27" s="55"/>
      <c r="X27" s="56">
        <f t="shared" si="6"/>
        <v>0</v>
      </c>
      <c r="Y27" s="56"/>
      <c r="Z27" s="57">
        <f t="shared" si="7"/>
        <v>0</v>
      </c>
    </row>
    <row r="28" spans="2:26" s="31" customFormat="1" ht="15" x14ac:dyDescent="0.25">
      <c r="B28" s="61" t="s">
        <v>46</v>
      </c>
      <c r="C28" s="42" t="s">
        <v>47</v>
      </c>
      <c r="D28" s="42"/>
      <c r="E28" s="49">
        <v>1</v>
      </c>
      <c r="F28" s="42"/>
      <c r="G28" s="55"/>
      <c r="H28" s="42"/>
      <c r="I28" s="50">
        <v>10000</v>
      </c>
      <c r="J28" s="44"/>
      <c r="K28" s="51">
        <v>2051.56</v>
      </c>
      <c r="L28" s="42"/>
      <c r="M28" s="44"/>
      <c r="N28" s="44"/>
      <c r="O28" s="44"/>
      <c r="P28" s="46"/>
      <c r="Q28" s="52"/>
      <c r="R28" s="42"/>
      <c r="S28" s="53">
        <f t="shared" si="4"/>
        <v>0</v>
      </c>
      <c r="T28" s="43">
        <f t="shared" si="5"/>
        <v>0</v>
      </c>
      <c r="U28" s="42"/>
      <c r="V28" s="54">
        <v>3</v>
      </c>
      <c r="W28" s="55"/>
      <c r="X28" s="56">
        <f t="shared" si="6"/>
        <v>0</v>
      </c>
      <c r="Y28" s="56"/>
      <c r="Z28" s="57">
        <f t="shared" si="7"/>
        <v>0</v>
      </c>
    </row>
    <row r="29" spans="2:26" s="31" customFormat="1" ht="15" x14ac:dyDescent="0.25">
      <c r="B29" s="61" t="s">
        <v>214</v>
      </c>
      <c r="C29" s="42" t="s">
        <v>48</v>
      </c>
      <c r="D29" s="42"/>
      <c r="E29" s="49">
        <v>1</v>
      </c>
      <c r="F29" s="42"/>
      <c r="G29" s="55"/>
      <c r="H29" s="42"/>
      <c r="I29" s="50">
        <v>6000</v>
      </c>
      <c r="J29" s="44"/>
      <c r="K29" s="51">
        <v>578.91999999999996</v>
      </c>
      <c r="L29" s="42"/>
      <c r="M29" s="44"/>
      <c r="N29" s="44"/>
      <c r="O29" s="44"/>
      <c r="P29" s="46"/>
      <c r="Q29" s="52"/>
      <c r="R29" s="42"/>
      <c r="S29" s="53">
        <f t="shared" si="4"/>
        <v>0</v>
      </c>
      <c r="T29" s="43">
        <f t="shared" si="5"/>
        <v>0</v>
      </c>
      <c r="U29" s="42"/>
      <c r="V29" s="54">
        <v>1</v>
      </c>
      <c r="W29" s="55"/>
      <c r="X29" s="56">
        <f t="shared" si="6"/>
        <v>0</v>
      </c>
      <c r="Y29" s="56"/>
      <c r="Z29" s="57">
        <f t="shared" si="7"/>
        <v>0</v>
      </c>
    </row>
    <row r="30" spans="2:26" s="31" customFormat="1" ht="15" x14ac:dyDescent="0.25">
      <c r="B30" s="61" t="s">
        <v>216</v>
      </c>
      <c r="C30" s="42" t="s">
        <v>49</v>
      </c>
      <c r="D30" s="42"/>
      <c r="E30" s="49">
        <v>1</v>
      </c>
      <c r="F30" s="42"/>
      <c r="G30" s="55"/>
      <c r="H30" s="42"/>
      <c r="I30" s="50">
        <v>8000</v>
      </c>
      <c r="J30" s="44"/>
      <c r="K30" s="51">
        <v>199.41</v>
      </c>
      <c r="L30" s="42"/>
      <c r="M30" s="44"/>
      <c r="N30" s="44"/>
      <c r="O30" s="44"/>
      <c r="P30" s="46"/>
      <c r="Q30" s="52"/>
      <c r="R30" s="42"/>
      <c r="S30" s="53">
        <f t="shared" si="4"/>
        <v>0</v>
      </c>
      <c r="T30" s="43">
        <f t="shared" si="5"/>
        <v>0</v>
      </c>
      <c r="U30" s="42"/>
      <c r="V30" s="54">
        <v>1.5</v>
      </c>
      <c r="W30" s="55"/>
      <c r="X30" s="56">
        <f t="shared" si="6"/>
        <v>0</v>
      </c>
      <c r="Y30" s="56"/>
      <c r="Z30" s="57">
        <f t="shared" si="7"/>
        <v>0</v>
      </c>
    </row>
    <row r="31" spans="2:26" s="31" customFormat="1" ht="15" x14ac:dyDescent="0.25">
      <c r="B31" s="59" t="s">
        <v>1</v>
      </c>
      <c r="C31" s="42"/>
      <c r="D31" s="42"/>
      <c r="E31" s="42"/>
      <c r="F31" s="42"/>
      <c r="G31" s="55"/>
      <c r="H31" s="42"/>
      <c r="I31" s="44"/>
      <c r="J31" s="44"/>
      <c r="K31" s="44"/>
      <c r="L31" s="42"/>
      <c r="M31" s="44"/>
      <c r="N31" s="44"/>
      <c r="O31" s="44"/>
      <c r="P31" s="62"/>
      <c r="Q31" s="44"/>
      <c r="R31" s="42"/>
      <c r="S31" s="53"/>
      <c r="T31" s="43"/>
      <c r="U31" s="42"/>
      <c r="V31" s="55"/>
      <c r="W31" s="55"/>
      <c r="X31" s="56"/>
      <c r="Y31" s="56"/>
      <c r="Z31" s="60"/>
    </row>
    <row r="32" spans="2:26" s="31" customFormat="1" ht="15.75" customHeight="1" x14ac:dyDescent="0.3">
      <c r="B32" s="225" t="s">
        <v>50</v>
      </c>
      <c r="C32" s="225"/>
      <c r="D32" s="42"/>
      <c r="E32" s="42"/>
      <c r="F32" s="42"/>
      <c r="G32" s="42"/>
      <c r="H32" s="42"/>
      <c r="I32" s="42"/>
      <c r="J32" s="42"/>
      <c r="K32" s="42"/>
      <c r="L32" s="42"/>
      <c r="M32" s="44"/>
      <c r="N32" s="42"/>
      <c r="O32" s="42"/>
      <c r="P32" s="42"/>
      <c r="Q32" s="42"/>
      <c r="R32" s="42"/>
      <c r="S32" s="46"/>
      <c r="T32" s="43"/>
      <c r="U32" s="42"/>
      <c r="V32" s="55"/>
      <c r="W32" s="55"/>
      <c r="X32" s="56"/>
      <c r="Y32" s="56"/>
      <c r="Z32" s="60"/>
    </row>
    <row r="33" spans="2:26" s="31" customFormat="1" ht="15" x14ac:dyDescent="0.25">
      <c r="B33" s="48" t="s">
        <v>51</v>
      </c>
      <c r="C33" s="42" t="s">
        <v>52</v>
      </c>
      <c r="D33" s="42"/>
      <c r="E33" s="49">
        <v>1</v>
      </c>
      <c r="F33" s="42"/>
      <c r="G33" s="55"/>
      <c r="H33" s="42"/>
      <c r="I33" s="50">
        <v>15000</v>
      </c>
      <c r="J33" s="44"/>
      <c r="K33" s="51">
        <v>10146.86</v>
      </c>
      <c r="L33" s="42"/>
      <c r="M33" s="44"/>
      <c r="N33" s="44"/>
      <c r="O33" s="44"/>
      <c r="P33" s="46"/>
      <c r="Q33" s="52"/>
      <c r="R33" s="42"/>
      <c r="S33" s="53">
        <f t="shared" ref="S33:S42" si="8">(IF(I33&gt;$P$11,0,E33))*(ROUNDDOWN($P$11/I33,0))</f>
        <v>0</v>
      </c>
      <c r="T33" s="43">
        <f t="shared" ref="T33:T42" si="9">S33*K33</f>
        <v>0</v>
      </c>
      <c r="U33" s="42"/>
      <c r="V33" s="54">
        <v>7</v>
      </c>
      <c r="W33" s="55"/>
      <c r="X33" s="56">
        <f t="shared" ref="X33:X42" si="10">IF(S33=0,0,V33*$X$8*S33)</f>
        <v>0</v>
      </c>
      <c r="Y33" s="56"/>
      <c r="Z33" s="57">
        <f t="shared" ref="Z33:Z42" si="11">+X33+T33</f>
        <v>0</v>
      </c>
    </row>
    <row r="34" spans="2:26" s="31" customFormat="1" ht="15" x14ac:dyDescent="0.25">
      <c r="B34" s="48" t="s">
        <v>249</v>
      </c>
      <c r="C34" s="42" t="s">
        <v>53</v>
      </c>
      <c r="D34" s="42"/>
      <c r="E34" s="49">
        <v>1</v>
      </c>
      <c r="F34" s="42"/>
      <c r="G34" s="55"/>
      <c r="H34" s="42"/>
      <c r="I34" s="50">
        <v>15000</v>
      </c>
      <c r="J34" s="44"/>
      <c r="K34" s="51">
        <v>13079.98</v>
      </c>
      <c r="L34" s="42"/>
      <c r="M34" s="44"/>
      <c r="N34" s="44"/>
      <c r="O34" s="44"/>
      <c r="P34" s="46"/>
      <c r="Q34" s="52"/>
      <c r="R34" s="42"/>
      <c r="S34" s="53">
        <f t="shared" si="8"/>
        <v>0</v>
      </c>
      <c r="T34" s="43">
        <f t="shared" si="9"/>
        <v>0</v>
      </c>
      <c r="U34" s="42"/>
      <c r="V34" s="54">
        <v>8</v>
      </c>
      <c r="W34" s="55"/>
      <c r="X34" s="56">
        <f t="shared" si="10"/>
        <v>0</v>
      </c>
      <c r="Y34" s="56"/>
      <c r="Z34" s="57">
        <f t="shared" si="11"/>
        <v>0</v>
      </c>
    </row>
    <row r="35" spans="2:26" s="31" customFormat="1" ht="15" x14ac:dyDescent="0.25">
      <c r="B35" s="48" t="s">
        <v>54</v>
      </c>
      <c r="C35" s="42" t="s">
        <v>55</v>
      </c>
      <c r="D35" s="42"/>
      <c r="E35" s="49">
        <v>1</v>
      </c>
      <c r="F35" s="42"/>
      <c r="G35" s="55"/>
      <c r="H35" s="42"/>
      <c r="I35" s="50">
        <v>15000</v>
      </c>
      <c r="J35" s="44"/>
      <c r="K35" s="51">
        <v>1430.14</v>
      </c>
      <c r="L35" s="42"/>
      <c r="M35" s="44"/>
      <c r="N35" s="44"/>
      <c r="O35" s="44"/>
      <c r="P35" s="46"/>
      <c r="Q35" s="52"/>
      <c r="R35" s="42"/>
      <c r="S35" s="53">
        <f t="shared" si="8"/>
        <v>0</v>
      </c>
      <c r="T35" s="43">
        <f t="shared" si="9"/>
        <v>0</v>
      </c>
      <c r="U35" s="42"/>
      <c r="V35" s="54">
        <v>2</v>
      </c>
      <c r="W35" s="55"/>
      <c r="X35" s="56">
        <f t="shared" si="10"/>
        <v>0</v>
      </c>
      <c r="Y35" s="56"/>
      <c r="Z35" s="57">
        <f t="shared" si="11"/>
        <v>0</v>
      </c>
    </row>
    <row r="36" spans="2:26" s="31" customFormat="1" ht="15" x14ac:dyDescent="0.25">
      <c r="B36" s="48" t="s">
        <v>56</v>
      </c>
      <c r="C36" s="42" t="s">
        <v>57</v>
      </c>
      <c r="D36" s="42"/>
      <c r="E36" s="49">
        <v>1</v>
      </c>
      <c r="F36" s="42"/>
      <c r="G36" s="55"/>
      <c r="H36" s="42"/>
      <c r="I36" s="50">
        <v>10000</v>
      </c>
      <c r="J36" s="44"/>
      <c r="K36" s="51">
        <v>533.44000000000005</v>
      </c>
      <c r="L36" s="42"/>
      <c r="M36" s="44"/>
      <c r="N36" s="44"/>
      <c r="O36" s="44"/>
      <c r="P36" s="46"/>
      <c r="Q36" s="52"/>
      <c r="R36" s="42"/>
      <c r="S36" s="53">
        <f t="shared" si="8"/>
        <v>0</v>
      </c>
      <c r="T36" s="43">
        <f t="shared" si="9"/>
        <v>0</v>
      </c>
      <c r="U36" s="42"/>
      <c r="V36" s="54">
        <v>12</v>
      </c>
      <c r="W36" s="55"/>
      <c r="X36" s="56">
        <f t="shared" si="10"/>
        <v>0</v>
      </c>
      <c r="Y36" s="56"/>
      <c r="Z36" s="57">
        <f t="shared" si="11"/>
        <v>0</v>
      </c>
    </row>
    <row r="37" spans="2:26" s="31" customFormat="1" ht="15" x14ac:dyDescent="0.25">
      <c r="B37" s="48" t="s">
        <v>204</v>
      </c>
      <c r="C37" s="42" t="s">
        <v>58</v>
      </c>
      <c r="D37" s="42"/>
      <c r="E37" s="49">
        <v>1</v>
      </c>
      <c r="F37" s="42"/>
      <c r="G37" s="55"/>
      <c r="H37" s="42"/>
      <c r="I37" s="50">
        <v>12000</v>
      </c>
      <c r="J37" s="44"/>
      <c r="K37" s="51">
        <v>1321.45</v>
      </c>
      <c r="L37" s="42"/>
      <c r="M37" s="44"/>
      <c r="N37" s="44"/>
      <c r="O37" s="44"/>
      <c r="P37" s="46"/>
      <c r="Q37" s="52"/>
      <c r="R37" s="42"/>
      <c r="S37" s="53">
        <f t="shared" si="8"/>
        <v>0</v>
      </c>
      <c r="T37" s="43">
        <f t="shared" si="9"/>
        <v>0</v>
      </c>
      <c r="U37" s="42"/>
      <c r="V37" s="54">
        <v>7</v>
      </c>
      <c r="W37" s="55"/>
      <c r="X37" s="56">
        <f t="shared" si="10"/>
        <v>0</v>
      </c>
      <c r="Y37" s="56"/>
      <c r="Z37" s="57">
        <f t="shared" si="11"/>
        <v>0</v>
      </c>
    </row>
    <row r="38" spans="2:26" s="31" customFormat="1" ht="15" x14ac:dyDescent="0.25">
      <c r="B38" s="48" t="s">
        <v>256</v>
      </c>
      <c r="C38" s="42" t="s">
        <v>59</v>
      </c>
      <c r="D38" s="42"/>
      <c r="E38" s="49">
        <v>1</v>
      </c>
      <c r="F38" s="42"/>
      <c r="G38" s="55"/>
      <c r="H38" s="42"/>
      <c r="I38" s="50">
        <v>15000</v>
      </c>
      <c r="J38" s="44"/>
      <c r="K38" s="51">
        <v>5115.62</v>
      </c>
      <c r="L38" s="42"/>
      <c r="M38" s="44"/>
      <c r="N38" s="44"/>
      <c r="O38" s="44"/>
      <c r="P38" s="46"/>
      <c r="Q38" s="52"/>
      <c r="R38" s="42"/>
      <c r="S38" s="53">
        <f t="shared" si="8"/>
        <v>0</v>
      </c>
      <c r="T38" s="43">
        <f t="shared" si="9"/>
        <v>0</v>
      </c>
      <c r="U38" s="42"/>
      <c r="V38" s="54">
        <v>2</v>
      </c>
      <c r="W38" s="55"/>
      <c r="X38" s="56">
        <f t="shared" si="10"/>
        <v>0</v>
      </c>
      <c r="Y38" s="56"/>
      <c r="Z38" s="57">
        <f t="shared" si="11"/>
        <v>0</v>
      </c>
    </row>
    <row r="39" spans="2:26" s="31" customFormat="1" ht="15" x14ac:dyDescent="0.25">
      <c r="B39" s="48" t="s">
        <v>60</v>
      </c>
      <c r="C39" s="42" t="s">
        <v>61</v>
      </c>
      <c r="D39" s="42"/>
      <c r="E39" s="49">
        <v>1</v>
      </c>
      <c r="F39" s="42"/>
      <c r="G39" s="55"/>
      <c r="H39" s="42"/>
      <c r="I39" s="50">
        <v>7000</v>
      </c>
      <c r="J39" s="44"/>
      <c r="K39" s="51">
        <v>835.2</v>
      </c>
      <c r="L39" s="42"/>
      <c r="M39" s="44"/>
      <c r="N39" s="44"/>
      <c r="O39" s="44"/>
      <c r="P39" s="46"/>
      <c r="Q39" s="52"/>
      <c r="R39" s="42"/>
      <c r="S39" s="53">
        <f t="shared" si="8"/>
        <v>0</v>
      </c>
      <c r="T39" s="43">
        <f t="shared" si="9"/>
        <v>0</v>
      </c>
      <c r="U39" s="42"/>
      <c r="V39" s="54">
        <v>2.5</v>
      </c>
      <c r="W39" s="55"/>
      <c r="X39" s="56">
        <f t="shared" si="10"/>
        <v>0</v>
      </c>
      <c r="Y39" s="56"/>
      <c r="Z39" s="57">
        <f t="shared" si="11"/>
        <v>0</v>
      </c>
    </row>
    <row r="40" spans="2:26" s="31" customFormat="1" ht="15" x14ac:dyDescent="0.25">
      <c r="B40" s="48" t="s">
        <v>250</v>
      </c>
      <c r="C40" s="42" t="s">
        <v>62</v>
      </c>
      <c r="D40" s="42"/>
      <c r="E40" s="49">
        <v>1</v>
      </c>
      <c r="F40" s="42"/>
      <c r="G40" s="55"/>
      <c r="H40" s="42"/>
      <c r="I40" s="50">
        <v>10000</v>
      </c>
      <c r="J40" s="44"/>
      <c r="K40" s="51">
        <v>1912.1</v>
      </c>
      <c r="L40" s="42"/>
      <c r="M40" s="44"/>
      <c r="N40" s="44"/>
      <c r="O40" s="44"/>
      <c r="P40" s="46"/>
      <c r="Q40" s="52"/>
      <c r="R40" s="42"/>
      <c r="S40" s="53">
        <f t="shared" si="8"/>
        <v>0</v>
      </c>
      <c r="T40" s="43">
        <f t="shared" si="9"/>
        <v>0</v>
      </c>
      <c r="U40" s="42"/>
      <c r="V40" s="54">
        <v>2</v>
      </c>
      <c r="W40" s="55"/>
      <c r="X40" s="56">
        <f t="shared" si="10"/>
        <v>0</v>
      </c>
      <c r="Y40" s="56"/>
      <c r="Z40" s="57">
        <f t="shared" si="11"/>
        <v>0</v>
      </c>
    </row>
    <row r="41" spans="2:26" s="31" customFormat="1" ht="15" x14ac:dyDescent="0.25">
      <c r="B41" s="48" t="s">
        <v>251</v>
      </c>
      <c r="C41" s="42" t="s">
        <v>63</v>
      </c>
      <c r="D41" s="42"/>
      <c r="E41" s="49">
        <v>1</v>
      </c>
      <c r="F41" s="42"/>
      <c r="G41" s="55"/>
      <c r="H41" s="42"/>
      <c r="I41" s="50">
        <v>10000</v>
      </c>
      <c r="J41" s="44"/>
      <c r="K41" s="51">
        <v>1912.1</v>
      </c>
      <c r="L41" s="42"/>
      <c r="M41" s="44"/>
      <c r="N41" s="44"/>
      <c r="O41" s="44"/>
      <c r="P41" s="46"/>
      <c r="Q41" s="52"/>
      <c r="R41" s="42"/>
      <c r="S41" s="53">
        <f t="shared" si="8"/>
        <v>0</v>
      </c>
      <c r="T41" s="43">
        <f t="shared" si="9"/>
        <v>0</v>
      </c>
      <c r="U41" s="42"/>
      <c r="V41" s="54">
        <v>2</v>
      </c>
      <c r="W41" s="55"/>
      <c r="X41" s="56">
        <f t="shared" si="10"/>
        <v>0</v>
      </c>
      <c r="Y41" s="56"/>
      <c r="Z41" s="57">
        <f t="shared" si="11"/>
        <v>0</v>
      </c>
    </row>
    <row r="42" spans="2:26" s="31" customFormat="1" ht="15" x14ac:dyDescent="0.25">
      <c r="B42" s="63" t="s">
        <v>64</v>
      </c>
      <c r="C42" s="42" t="s">
        <v>65</v>
      </c>
      <c r="D42" s="42"/>
      <c r="E42" s="49">
        <v>1</v>
      </c>
      <c r="F42" s="42"/>
      <c r="G42" s="55"/>
      <c r="H42" s="42"/>
      <c r="I42" s="50">
        <v>20000</v>
      </c>
      <c r="J42" s="44"/>
      <c r="K42" s="51">
        <v>2049.39</v>
      </c>
      <c r="L42" s="42"/>
      <c r="M42" s="44"/>
      <c r="N42" s="44"/>
      <c r="O42" s="44"/>
      <c r="P42" s="46"/>
      <c r="Q42" s="52"/>
      <c r="R42" s="42"/>
      <c r="S42" s="53">
        <f t="shared" si="8"/>
        <v>0</v>
      </c>
      <c r="T42" s="43">
        <f t="shared" si="9"/>
        <v>0</v>
      </c>
      <c r="U42" s="42"/>
      <c r="V42" s="54">
        <v>1.5</v>
      </c>
      <c r="W42" s="55"/>
      <c r="X42" s="56">
        <f t="shared" si="10"/>
        <v>0</v>
      </c>
      <c r="Y42" s="56"/>
      <c r="Z42" s="57">
        <f t="shared" si="11"/>
        <v>0</v>
      </c>
    </row>
    <row r="43" spans="2:26" s="31" customFormat="1" ht="15" x14ac:dyDescent="0.25">
      <c r="B43" s="61" t="s">
        <v>1</v>
      </c>
      <c r="C43" s="42"/>
      <c r="D43" s="42"/>
      <c r="E43" s="42"/>
      <c r="F43" s="42"/>
      <c r="G43" s="55"/>
      <c r="H43" s="42"/>
      <c r="I43" s="44"/>
      <c r="J43" s="44"/>
      <c r="K43" s="44"/>
      <c r="L43" s="42"/>
      <c r="M43" s="44"/>
      <c r="N43" s="44"/>
      <c r="O43" s="44"/>
      <c r="P43" s="46"/>
      <c r="Q43" s="52"/>
      <c r="R43" s="42"/>
      <c r="S43" s="53"/>
      <c r="T43" s="43"/>
      <c r="U43" s="42"/>
      <c r="V43" s="55"/>
      <c r="W43" s="55"/>
      <c r="X43" s="56"/>
      <c r="Y43" s="56"/>
      <c r="Z43" s="60"/>
    </row>
    <row r="44" spans="2:26" s="31" customFormat="1" ht="15" x14ac:dyDescent="0.25">
      <c r="B44" s="59" t="s">
        <v>1</v>
      </c>
      <c r="C44" s="42"/>
      <c r="D44" s="42"/>
      <c r="E44" s="42"/>
      <c r="F44" s="42"/>
      <c r="G44" s="55"/>
      <c r="H44" s="42"/>
      <c r="I44" s="44"/>
      <c r="J44" s="44"/>
      <c r="K44" s="44"/>
      <c r="L44" s="42"/>
      <c r="M44" s="44"/>
      <c r="N44" s="44"/>
      <c r="O44" s="44"/>
      <c r="P44" s="46"/>
      <c r="Q44" s="52"/>
      <c r="R44" s="42"/>
      <c r="S44" s="53"/>
      <c r="T44" s="43"/>
      <c r="U44" s="42"/>
      <c r="V44" s="55"/>
      <c r="W44" s="55"/>
      <c r="X44" s="56"/>
      <c r="Y44" s="56"/>
      <c r="Z44" s="60"/>
    </row>
    <row r="45" spans="2:26" s="31" customFormat="1" ht="15" x14ac:dyDescent="0.25">
      <c r="B45" s="48" t="s">
        <v>66</v>
      </c>
      <c r="C45" s="42" t="s">
        <v>67</v>
      </c>
      <c r="D45" s="42"/>
      <c r="E45" s="49">
        <v>1</v>
      </c>
      <c r="F45" s="42"/>
      <c r="G45" s="55"/>
      <c r="H45" s="42"/>
      <c r="I45" s="50">
        <v>10000</v>
      </c>
      <c r="J45" s="42"/>
      <c r="K45" s="51">
        <v>1505.94</v>
      </c>
      <c r="L45" s="42"/>
      <c r="M45" s="44"/>
      <c r="N45" s="42"/>
      <c r="O45" s="42"/>
      <c r="P45" s="46"/>
      <c r="Q45" s="52"/>
      <c r="R45" s="42"/>
      <c r="S45" s="53">
        <f>(IF(I45&gt;$P$11,0,E45))*(ROUNDDOWN($P$11/I45,0))</f>
        <v>0</v>
      </c>
      <c r="T45" s="43">
        <f>S45*K45</f>
        <v>0</v>
      </c>
      <c r="U45" s="42"/>
      <c r="V45" s="54">
        <v>0.75</v>
      </c>
      <c r="W45" s="55"/>
      <c r="X45" s="56">
        <f>IF(S45=0,0,V45*$X$8*S45)</f>
        <v>0</v>
      </c>
      <c r="Y45" s="56"/>
      <c r="Z45" s="57">
        <f>+X45+T45</f>
        <v>0</v>
      </c>
    </row>
    <row r="46" spans="2:26" s="31" customFormat="1" x14ac:dyDescent="0.3">
      <c r="B46" s="32" t="s">
        <v>68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4"/>
      <c r="N46" s="42"/>
      <c r="O46" s="42"/>
      <c r="P46" s="42"/>
      <c r="Q46" s="42"/>
      <c r="R46" s="42"/>
      <c r="S46" s="53"/>
      <c r="T46" s="43"/>
      <c r="U46" s="42"/>
      <c r="V46" s="42"/>
      <c r="W46" s="42"/>
      <c r="X46" s="56"/>
      <c r="Y46" s="56"/>
      <c r="Z46" s="57"/>
    </row>
    <row r="47" spans="2:26" s="31" customFormat="1" ht="15" x14ac:dyDescent="0.25">
      <c r="B47" s="64" t="s">
        <v>198</v>
      </c>
      <c r="C47" s="42" t="s">
        <v>69</v>
      </c>
      <c r="D47" s="42"/>
      <c r="E47" s="49">
        <v>2</v>
      </c>
      <c r="F47" s="42"/>
      <c r="G47" s="55"/>
      <c r="H47" s="42"/>
      <c r="I47" s="50">
        <v>25000</v>
      </c>
      <c r="J47" s="44"/>
      <c r="K47" s="51">
        <v>5461.72</v>
      </c>
      <c r="L47" s="42"/>
      <c r="M47" s="44"/>
      <c r="N47" s="44"/>
      <c r="O47" s="44"/>
      <c r="P47" s="46"/>
      <c r="Q47" s="52"/>
      <c r="R47" s="42"/>
      <c r="S47" s="53">
        <f t="shared" ref="S47:S57" si="12">(IF(I47&gt;$P$11,0,E47))*(ROUNDDOWN($P$11/I47,0))</f>
        <v>0</v>
      </c>
      <c r="T47" s="43">
        <f t="shared" ref="T47:T57" si="13">S47*K47</f>
        <v>0</v>
      </c>
      <c r="U47" s="42"/>
      <c r="V47" s="54">
        <v>6</v>
      </c>
      <c r="W47" s="55"/>
      <c r="X47" s="56">
        <f t="shared" ref="X47:X57" si="14">IF(S47=0,0,V47*$X$8*S47)</f>
        <v>0</v>
      </c>
      <c r="Y47" s="56"/>
      <c r="Z47" s="57">
        <f t="shared" ref="Z47:Z57" si="15">+X47+T47</f>
        <v>0</v>
      </c>
    </row>
    <row r="48" spans="2:26" s="31" customFormat="1" ht="15" x14ac:dyDescent="0.25">
      <c r="B48" s="64" t="s">
        <v>70</v>
      </c>
      <c r="C48" s="42" t="s">
        <v>71</v>
      </c>
      <c r="D48" s="42"/>
      <c r="E48" s="49">
        <v>2</v>
      </c>
      <c r="F48" s="42"/>
      <c r="G48" s="55"/>
      <c r="H48" s="42"/>
      <c r="I48" s="50">
        <v>10000</v>
      </c>
      <c r="J48" s="44"/>
      <c r="K48" s="51">
        <v>1249.94</v>
      </c>
      <c r="L48" s="42"/>
      <c r="M48" s="44"/>
      <c r="N48" s="44"/>
      <c r="O48" s="44"/>
      <c r="P48" s="46"/>
      <c r="Q48" s="52"/>
      <c r="R48" s="42"/>
      <c r="S48" s="53">
        <f t="shared" si="12"/>
        <v>0</v>
      </c>
      <c r="T48" s="43">
        <f t="shared" si="13"/>
        <v>0</v>
      </c>
      <c r="U48" s="42"/>
      <c r="V48" s="54">
        <v>10</v>
      </c>
      <c r="W48" s="55"/>
      <c r="X48" s="56">
        <f t="shared" si="14"/>
        <v>0</v>
      </c>
      <c r="Y48" s="56"/>
      <c r="Z48" s="57">
        <f t="shared" si="15"/>
        <v>0</v>
      </c>
    </row>
    <row r="49" spans="2:26" s="31" customFormat="1" ht="15" x14ac:dyDescent="0.25">
      <c r="B49" s="64" t="s">
        <v>72</v>
      </c>
      <c r="C49" s="42" t="s">
        <v>73</v>
      </c>
      <c r="D49" s="42"/>
      <c r="E49" s="49">
        <v>1</v>
      </c>
      <c r="F49" s="42"/>
      <c r="G49" s="55"/>
      <c r="H49" s="42"/>
      <c r="I49" s="50">
        <v>25000</v>
      </c>
      <c r="J49" s="44"/>
      <c r="K49" s="51">
        <v>6085.26</v>
      </c>
      <c r="L49" s="42"/>
      <c r="M49" s="44"/>
      <c r="N49" s="44"/>
      <c r="O49" s="44"/>
      <c r="P49" s="46"/>
      <c r="Q49" s="52"/>
      <c r="R49" s="42"/>
      <c r="S49" s="53">
        <f t="shared" si="12"/>
        <v>0</v>
      </c>
      <c r="T49" s="43">
        <f t="shared" si="13"/>
        <v>0</v>
      </c>
      <c r="U49" s="42"/>
      <c r="V49" s="54">
        <v>3</v>
      </c>
      <c r="W49" s="55"/>
      <c r="X49" s="56">
        <f t="shared" si="14"/>
        <v>0</v>
      </c>
      <c r="Y49" s="56"/>
      <c r="Z49" s="57">
        <f t="shared" si="15"/>
        <v>0</v>
      </c>
    </row>
    <row r="50" spans="2:26" s="31" customFormat="1" ht="15" x14ac:dyDescent="0.25">
      <c r="B50" s="64" t="s">
        <v>74</v>
      </c>
      <c r="C50" s="42" t="s">
        <v>71</v>
      </c>
      <c r="D50" s="42"/>
      <c r="E50" s="49">
        <v>1</v>
      </c>
      <c r="F50" s="42"/>
      <c r="G50" s="55"/>
      <c r="H50" s="42"/>
      <c r="I50" s="50">
        <v>10000</v>
      </c>
      <c r="J50" s="44"/>
      <c r="K50" s="51">
        <v>1337.18</v>
      </c>
      <c r="L50" s="42"/>
      <c r="M50" s="44"/>
      <c r="N50" s="44"/>
      <c r="O50" s="44"/>
      <c r="P50" s="46"/>
      <c r="Q50" s="52"/>
      <c r="R50" s="42"/>
      <c r="S50" s="53">
        <f t="shared" si="12"/>
        <v>0</v>
      </c>
      <c r="T50" s="43">
        <f t="shared" si="13"/>
        <v>0</v>
      </c>
      <c r="U50" s="42"/>
      <c r="V50" s="54">
        <v>5</v>
      </c>
      <c r="W50" s="55"/>
      <c r="X50" s="56">
        <f t="shared" si="14"/>
        <v>0</v>
      </c>
      <c r="Y50" s="56"/>
      <c r="Z50" s="57">
        <f t="shared" si="15"/>
        <v>0</v>
      </c>
    </row>
    <row r="51" spans="2:26" s="31" customFormat="1" ht="15" x14ac:dyDescent="0.25">
      <c r="B51" s="64" t="s">
        <v>75</v>
      </c>
      <c r="C51" s="42" t="s">
        <v>76</v>
      </c>
      <c r="D51" s="42"/>
      <c r="E51" s="49">
        <v>4</v>
      </c>
      <c r="F51" s="42"/>
      <c r="G51" s="55"/>
      <c r="H51" s="42"/>
      <c r="I51" s="50">
        <v>25000</v>
      </c>
      <c r="J51" s="44"/>
      <c r="K51" s="51">
        <v>3184.93</v>
      </c>
      <c r="L51" s="42"/>
      <c r="M51" s="44"/>
      <c r="N51" s="44"/>
      <c r="O51" s="44"/>
      <c r="P51" s="46"/>
      <c r="Q51" s="52"/>
      <c r="R51" s="42"/>
      <c r="S51" s="53">
        <f t="shared" si="12"/>
        <v>0</v>
      </c>
      <c r="T51" s="43">
        <f t="shared" si="13"/>
        <v>0</v>
      </c>
      <c r="U51" s="42"/>
      <c r="V51" s="54">
        <v>16</v>
      </c>
      <c r="W51" s="55"/>
      <c r="X51" s="56">
        <f t="shared" si="14"/>
        <v>0</v>
      </c>
      <c r="Y51" s="56"/>
      <c r="Z51" s="57">
        <f t="shared" si="15"/>
        <v>0</v>
      </c>
    </row>
    <row r="52" spans="2:26" s="31" customFormat="1" ht="15" x14ac:dyDescent="0.25">
      <c r="B52" s="64" t="s">
        <v>77</v>
      </c>
      <c r="C52" s="42" t="s">
        <v>71</v>
      </c>
      <c r="D52" s="42"/>
      <c r="E52" s="49">
        <v>4</v>
      </c>
      <c r="F52" s="42"/>
      <c r="G52" s="55"/>
      <c r="H52" s="42"/>
      <c r="I52" s="50">
        <v>12000</v>
      </c>
      <c r="J52" s="44"/>
      <c r="K52" s="51">
        <v>945.32</v>
      </c>
      <c r="L52" s="42"/>
      <c r="M52" s="44"/>
      <c r="N52" s="44"/>
      <c r="O52" s="44"/>
      <c r="P52" s="46"/>
      <c r="Q52" s="52"/>
      <c r="R52" s="42"/>
      <c r="S52" s="53">
        <f t="shared" si="12"/>
        <v>0</v>
      </c>
      <c r="T52" s="43">
        <f t="shared" si="13"/>
        <v>0</v>
      </c>
      <c r="U52" s="42"/>
      <c r="V52" s="54">
        <v>21</v>
      </c>
      <c r="W52" s="55"/>
      <c r="X52" s="56">
        <f t="shared" si="14"/>
        <v>0</v>
      </c>
      <c r="Y52" s="56"/>
      <c r="Z52" s="57">
        <f t="shared" si="15"/>
        <v>0</v>
      </c>
    </row>
    <row r="53" spans="2:26" s="31" customFormat="1" ht="15" x14ac:dyDescent="0.25">
      <c r="B53" s="65" t="s">
        <v>78</v>
      </c>
      <c r="C53" s="42" t="s">
        <v>79</v>
      </c>
      <c r="D53" s="42"/>
      <c r="E53" s="49">
        <v>2</v>
      </c>
      <c r="F53" s="42"/>
      <c r="G53" s="55"/>
      <c r="H53" s="42"/>
      <c r="I53" s="50">
        <v>20000</v>
      </c>
      <c r="J53" s="44"/>
      <c r="K53" s="51">
        <v>1716.17</v>
      </c>
      <c r="L53" s="42"/>
      <c r="M53" s="44"/>
      <c r="N53" s="44"/>
      <c r="O53" s="44"/>
      <c r="P53" s="46"/>
      <c r="Q53" s="52"/>
      <c r="R53" s="42"/>
      <c r="S53" s="53">
        <f t="shared" si="12"/>
        <v>0</v>
      </c>
      <c r="T53" s="43">
        <f t="shared" si="13"/>
        <v>0</v>
      </c>
      <c r="U53" s="42"/>
      <c r="V53" s="54">
        <v>1.5</v>
      </c>
      <c r="W53" s="55"/>
      <c r="X53" s="56">
        <f t="shared" si="14"/>
        <v>0</v>
      </c>
      <c r="Y53" s="56"/>
      <c r="Z53" s="57">
        <f t="shared" si="15"/>
        <v>0</v>
      </c>
    </row>
    <row r="54" spans="2:26" s="31" customFormat="1" ht="15" x14ac:dyDescent="0.25">
      <c r="B54" s="64" t="s">
        <v>80</v>
      </c>
      <c r="C54" s="42" t="s">
        <v>71</v>
      </c>
      <c r="D54" s="42"/>
      <c r="E54" s="49">
        <v>2</v>
      </c>
      <c r="F54" s="42"/>
      <c r="G54" s="55"/>
      <c r="H54" s="42"/>
      <c r="I54" s="50">
        <v>12000</v>
      </c>
      <c r="J54" s="44"/>
      <c r="K54" s="51">
        <v>148.99</v>
      </c>
      <c r="L54" s="42"/>
      <c r="M54" s="44"/>
      <c r="N54" s="44"/>
      <c r="O54" s="44"/>
      <c r="P54" s="46"/>
      <c r="Q54" s="52"/>
      <c r="R54" s="42"/>
      <c r="S54" s="53">
        <f t="shared" si="12"/>
        <v>0</v>
      </c>
      <c r="T54" s="43">
        <f t="shared" si="13"/>
        <v>0</v>
      </c>
      <c r="U54" s="42"/>
      <c r="V54" s="54">
        <v>5</v>
      </c>
      <c r="W54" s="55"/>
      <c r="X54" s="56">
        <f t="shared" si="14"/>
        <v>0</v>
      </c>
      <c r="Y54" s="56"/>
      <c r="Z54" s="57">
        <f t="shared" si="15"/>
        <v>0</v>
      </c>
    </row>
    <row r="55" spans="2:26" s="31" customFormat="1" ht="15" x14ac:dyDescent="0.25">
      <c r="B55" s="64" t="s">
        <v>81</v>
      </c>
      <c r="C55" s="42" t="s">
        <v>82</v>
      </c>
      <c r="D55" s="42"/>
      <c r="E55" s="49">
        <v>1</v>
      </c>
      <c r="F55" s="42"/>
      <c r="G55" s="55"/>
      <c r="H55" s="42"/>
      <c r="I55" s="50">
        <v>15000</v>
      </c>
      <c r="J55" s="44"/>
      <c r="K55" s="51">
        <v>1786.25</v>
      </c>
      <c r="L55" s="42"/>
      <c r="M55" s="44"/>
      <c r="N55" s="44"/>
      <c r="O55" s="44"/>
      <c r="P55" s="46"/>
      <c r="Q55" s="52"/>
      <c r="R55" s="42"/>
      <c r="S55" s="53">
        <f t="shared" si="12"/>
        <v>0</v>
      </c>
      <c r="T55" s="43">
        <f t="shared" si="13"/>
        <v>0</v>
      </c>
      <c r="U55" s="42"/>
      <c r="V55" s="54">
        <v>3</v>
      </c>
      <c r="W55" s="55"/>
      <c r="X55" s="56">
        <f t="shared" si="14"/>
        <v>0</v>
      </c>
      <c r="Y55" s="56"/>
      <c r="Z55" s="57">
        <f t="shared" si="15"/>
        <v>0</v>
      </c>
    </row>
    <row r="56" spans="2:26" s="31" customFormat="1" ht="15" x14ac:dyDescent="0.25">
      <c r="B56" s="64" t="s">
        <v>83</v>
      </c>
      <c r="C56" s="42" t="s">
        <v>84</v>
      </c>
      <c r="D56" s="42"/>
      <c r="E56" s="49">
        <v>2</v>
      </c>
      <c r="F56" s="42"/>
      <c r="G56" s="55"/>
      <c r="H56" s="42"/>
      <c r="I56" s="50">
        <v>25000</v>
      </c>
      <c r="J56" s="44"/>
      <c r="K56" s="51">
        <v>1657.54</v>
      </c>
      <c r="L56" s="42"/>
      <c r="M56" s="44"/>
      <c r="N56" s="44"/>
      <c r="O56" s="44"/>
      <c r="P56" s="46"/>
      <c r="Q56" s="52"/>
      <c r="R56" s="42"/>
      <c r="S56" s="53">
        <f t="shared" si="12"/>
        <v>0</v>
      </c>
      <c r="T56" s="43">
        <f t="shared" si="13"/>
        <v>0</v>
      </c>
      <c r="U56" s="42"/>
      <c r="V56" s="54">
        <v>1.5</v>
      </c>
      <c r="W56" s="55"/>
      <c r="X56" s="56">
        <f t="shared" si="14"/>
        <v>0</v>
      </c>
      <c r="Y56" s="56"/>
      <c r="Z56" s="57">
        <f t="shared" si="15"/>
        <v>0</v>
      </c>
    </row>
    <row r="57" spans="2:26" s="31" customFormat="1" ht="15" x14ac:dyDescent="0.25">
      <c r="B57" s="64" t="s">
        <v>85</v>
      </c>
      <c r="C57" s="42" t="s">
        <v>86</v>
      </c>
      <c r="D57" s="42"/>
      <c r="E57" s="49">
        <v>2</v>
      </c>
      <c r="F57" s="42"/>
      <c r="G57" s="55"/>
      <c r="H57" s="42"/>
      <c r="I57" s="50">
        <v>15000</v>
      </c>
      <c r="J57" s="44"/>
      <c r="K57" s="51">
        <v>231.68</v>
      </c>
      <c r="L57" s="42"/>
      <c r="M57" s="44"/>
      <c r="N57" s="44"/>
      <c r="O57" s="44"/>
      <c r="P57" s="46"/>
      <c r="Q57" s="52"/>
      <c r="R57" s="42"/>
      <c r="S57" s="53">
        <f t="shared" si="12"/>
        <v>0</v>
      </c>
      <c r="T57" s="43">
        <f t="shared" si="13"/>
        <v>0</v>
      </c>
      <c r="U57" s="42"/>
      <c r="V57" s="54">
        <v>2.5</v>
      </c>
      <c r="W57" s="55"/>
      <c r="X57" s="56">
        <f t="shared" si="14"/>
        <v>0</v>
      </c>
      <c r="Y57" s="56"/>
      <c r="Z57" s="57">
        <f t="shared" si="15"/>
        <v>0</v>
      </c>
    </row>
    <row r="58" spans="2:26" s="31" customFormat="1" ht="15" x14ac:dyDescent="0.25">
      <c r="B58" s="66" t="s">
        <v>1</v>
      </c>
      <c r="C58" s="42"/>
      <c r="D58" s="42"/>
      <c r="E58" s="42"/>
      <c r="F58" s="42"/>
      <c r="G58" s="55"/>
      <c r="H58" s="42"/>
      <c r="I58" s="44"/>
      <c r="J58" s="44"/>
      <c r="K58" s="44"/>
      <c r="L58" s="42"/>
      <c r="M58" s="44"/>
      <c r="N58" s="44"/>
      <c r="O58" s="44"/>
      <c r="P58" s="46"/>
      <c r="Q58" s="52"/>
      <c r="R58" s="42"/>
      <c r="S58" s="53"/>
      <c r="T58" s="43"/>
      <c r="U58" s="42"/>
      <c r="V58" s="55"/>
      <c r="W58" s="55"/>
      <c r="X58" s="56"/>
      <c r="Y58" s="56"/>
      <c r="Z58" s="60"/>
    </row>
    <row r="59" spans="2:26" s="31" customFormat="1" x14ac:dyDescent="0.3">
      <c r="B59" s="32" t="s">
        <v>87</v>
      </c>
      <c r="C59" s="42"/>
      <c r="D59" s="42"/>
      <c r="E59" s="42"/>
      <c r="F59" s="42"/>
      <c r="G59" s="55"/>
      <c r="H59" s="42"/>
      <c r="I59" s="44"/>
      <c r="J59" s="44"/>
      <c r="K59" s="44"/>
      <c r="L59" s="42"/>
      <c r="M59" s="44"/>
      <c r="N59" s="44"/>
      <c r="O59" s="44"/>
      <c r="P59" s="46"/>
      <c r="Q59" s="52"/>
      <c r="R59" s="42"/>
      <c r="S59" s="53"/>
      <c r="T59" s="43"/>
      <c r="U59" s="42"/>
      <c r="V59" s="55"/>
      <c r="W59" s="55"/>
      <c r="X59" s="56"/>
      <c r="Y59" s="56"/>
      <c r="Z59" s="60"/>
    </row>
    <row r="60" spans="2:26" s="31" customFormat="1" ht="15" x14ac:dyDescent="0.25">
      <c r="B60" s="59" t="s">
        <v>252</v>
      </c>
      <c r="C60" s="42" t="s">
        <v>88</v>
      </c>
      <c r="D60" s="42"/>
      <c r="E60" s="49">
        <v>1</v>
      </c>
      <c r="F60" s="42"/>
      <c r="G60" s="55"/>
      <c r="H60" s="42"/>
      <c r="I60" s="50">
        <v>20000</v>
      </c>
      <c r="J60" s="44"/>
      <c r="K60" s="51">
        <v>2417.7399999999998</v>
      </c>
      <c r="L60" s="42"/>
      <c r="M60" s="44"/>
      <c r="N60" s="44"/>
      <c r="O60" s="44"/>
      <c r="P60" s="46"/>
      <c r="Q60" s="52"/>
      <c r="R60" s="42"/>
      <c r="S60" s="53">
        <f t="shared" ref="S60:S66" si="16">(IF(I60&gt;$P$11,0,E60))*(ROUNDDOWN($P$11/I60,0))</f>
        <v>0</v>
      </c>
      <c r="T60" s="43">
        <f t="shared" ref="T60:T66" si="17">S60*K60</f>
        <v>0</v>
      </c>
      <c r="U60" s="42"/>
      <c r="V60" s="54">
        <v>6</v>
      </c>
      <c r="W60" s="55"/>
      <c r="X60" s="56">
        <f t="shared" ref="X60:X66" si="18">IF(S60=0,0,V60*$X$8*S60)</f>
        <v>0</v>
      </c>
      <c r="Y60" s="56"/>
      <c r="Z60" s="57">
        <f t="shared" ref="Z60:Z66" si="19">+X60+T60</f>
        <v>0</v>
      </c>
    </row>
    <row r="61" spans="2:26" s="31" customFormat="1" ht="15" x14ac:dyDescent="0.25">
      <c r="B61" s="48" t="s">
        <v>257</v>
      </c>
      <c r="C61" s="42" t="s">
        <v>89</v>
      </c>
      <c r="D61" s="42"/>
      <c r="E61" s="49">
        <v>1</v>
      </c>
      <c r="F61" s="42"/>
      <c r="G61" s="55"/>
      <c r="H61" s="42"/>
      <c r="I61" s="50">
        <v>20000</v>
      </c>
      <c r="J61" s="44"/>
      <c r="K61" s="51">
        <v>1320.02</v>
      </c>
      <c r="L61" s="42"/>
      <c r="M61" s="44"/>
      <c r="N61" s="44"/>
      <c r="O61" s="44"/>
      <c r="P61" s="46"/>
      <c r="Q61" s="52"/>
      <c r="R61" s="42"/>
      <c r="S61" s="53">
        <f t="shared" si="16"/>
        <v>0</v>
      </c>
      <c r="T61" s="43">
        <f t="shared" si="17"/>
        <v>0</v>
      </c>
      <c r="U61" s="42"/>
      <c r="V61" s="54">
        <v>2.5</v>
      </c>
      <c r="W61" s="55"/>
      <c r="X61" s="56">
        <f t="shared" si="18"/>
        <v>0</v>
      </c>
      <c r="Y61" s="56"/>
      <c r="Z61" s="57">
        <f t="shared" si="19"/>
        <v>0</v>
      </c>
    </row>
    <row r="62" spans="2:26" s="31" customFormat="1" ht="15" x14ac:dyDescent="0.25">
      <c r="B62" s="48" t="s">
        <v>90</v>
      </c>
      <c r="C62" s="42" t="s">
        <v>91</v>
      </c>
      <c r="D62" s="42"/>
      <c r="E62" s="49">
        <v>1</v>
      </c>
      <c r="F62" s="42"/>
      <c r="G62" s="55"/>
      <c r="H62" s="42"/>
      <c r="I62" s="50">
        <v>20000</v>
      </c>
      <c r="J62" s="44"/>
      <c r="K62" s="51">
        <v>915.29</v>
      </c>
      <c r="L62" s="42"/>
      <c r="M62" s="44"/>
      <c r="N62" s="44"/>
      <c r="O62" s="44"/>
      <c r="P62" s="46"/>
      <c r="Q62" s="52"/>
      <c r="R62" s="42"/>
      <c r="S62" s="53">
        <f t="shared" si="16"/>
        <v>0</v>
      </c>
      <c r="T62" s="43">
        <f t="shared" si="17"/>
        <v>0</v>
      </c>
      <c r="U62" s="42"/>
      <c r="V62" s="54">
        <v>2.5</v>
      </c>
      <c r="W62" s="55"/>
      <c r="X62" s="56">
        <f t="shared" si="18"/>
        <v>0</v>
      </c>
      <c r="Y62" s="56"/>
      <c r="Z62" s="57">
        <f t="shared" si="19"/>
        <v>0</v>
      </c>
    </row>
    <row r="63" spans="2:26" s="31" customFormat="1" ht="15" x14ac:dyDescent="0.25">
      <c r="B63" s="59" t="s">
        <v>253</v>
      </c>
      <c r="C63" s="42" t="s">
        <v>92</v>
      </c>
      <c r="D63" s="42"/>
      <c r="E63" s="49">
        <v>1</v>
      </c>
      <c r="F63" s="42"/>
      <c r="G63" s="55"/>
      <c r="H63" s="42"/>
      <c r="I63" s="50">
        <v>20000</v>
      </c>
      <c r="J63" s="44"/>
      <c r="K63" s="51">
        <v>1048.29</v>
      </c>
      <c r="L63" s="42"/>
      <c r="M63" s="44"/>
      <c r="N63" s="44"/>
      <c r="O63" s="44"/>
      <c r="P63" s="46"/>
      <c r="Q63" s="52"/>
      <c r="R63" s="42"/>
      <c r="S63" s="53">
        <f t="shared" si="16"/>
        <v>0</v>
      </c>
      <c r="T63" s="43">
        <f t="shared" si="17"/>
        <v>0</v>
      </c>
      <c r="U63" s="42"/>
      <c r="V63" s="54">
        <v>2.5</v>
      </c>
      <c r="W63" s="55"/>
      <c r="X63" s="56">
        <f t="shared" si="18"/>
        <v>0</v>
      </c>
      <c r="Y63" s="56"/>
      <c r="Z63" s="57">
        <f t="shared" si="19"/>
        <v>0</v>
      </c>
    </row>
    <row r="64" spans="2:26" s="31" customFormat="1" ht="15" x14ac:dyDescent="0.25">
      <c r="B64" s="48" t="s">
        <v>93</v>
      </c>
      <c r="C64" s="42" t="s">
        <v>94</v>
      </c>
      <c r="D64" s="42"/>
      <c r="E64" s="49">
        <v>1</v>
      </c>
      <c r="F64" s="42"/>
      <c r="G64" s="55"/>
      <c r="H64" s="42"/>
      <c r="I64" s="50">
        <v>20000</v>
      </c>
      <c r="J64" s="44"/>
      <c r="K64" s="51">
        <v>913.86</v>
      </c>
      <c r="L64" s="42"/>
      <c r="M64" s="44"/>
      <c r="N64" s="44"/>
      <c r="O64" s="44"/>
      <c r="P64" s="46"/>
      <c r="Q64" s="52"/>
      <c r="R64" s="42"/>
      <c r="S64" s="53">
        <f t="shared" si="16"/>
        <v>0</v>
      </c>
      <c r="T64" s="43">
        <f t="shared" si="17"/>
        <v>0</v>
      </c>
      <c r="U64" s="42"/>
      <c r="V64" s="54">
        <v>2.5</v>
      </c>
      <c r="W64" s="55"/>
      <c r="X64" s="56">
        <f t="shared" si="18"/>
        <v>0</v>
      </c>
      <c r="Y64" s="56"/>
      <c r="Z64" s="57">
        <f t="shared" si="19"/>
        <v>0</v>
      </c>
    </row>
    <row r="65" spans="2:26" s="31" customFormat="1" ht="15" x14ac:dyDescent="0.25">
      <c r="B65" s="48" t="s">
        <v>254</v>
      </c>
      <c r="C65" s="42" t="s">
        <v>95</v>
      </c>
      <c r="D65" s="42"/>
      <c r="E65" s="49">
        <v>1</v>
      </c>
      <c r="F65" s="42"/>
      <c r="G65" s="55"/>
      <c r="H65" s="42"/>
      <c r="I65" s="50">
        <v>20000</v>
      </c>
      <c r="J65" s="44"/>
      <c r="K65" s="51">
        <v>718.39</v>
      </c>
      <c r="L65" s="42"/>
      <c r="M65" s="44"/>
      <c r="N65" s="44"/>
      <c r="O65" s="44"/>
      <c r="P65" s="46"/>
      <c r="Q65" s="52"/>
      <c r="R65" s="42"/>
      <c r="S65" s="53">
        <f t="shared" si="16"/>
        <v>0</v>
      </c>
      <c r="T65" s="43">
        <f t="shared" si="17"/>
        <v>0</v>
      </c>
      <c r="U65" s="42"/>
      <c r="V65" s="54">
        <v>2.5</v>
      </c>
      <c r="W65" s="55"/>
      <c r="X65" s="56">
        <f t="shared" si="18"/>
        <v>0</v>
      </c>
      <c r="Y65" s="56"/>
      <c r="Z65" s="57">
        <f t="shared" si="19"/>
        <v>0</v>
      </c>
    </row>
    <row r="66" spans="2:26" s="31" customFormat="1" ht="15" x14ac:dyDescent="0.25">
      <c r="B66" s="59" t="s">
        <v>199</v>
      </c>
      <c r="C66" s="42" t="s">
        <v>96</v>
      </c>
      <c r="D66" s="42"/>
      <c r="E66" s="49">
        <v>1</v>
      </c>
      <c r="F66" s="42"/>
      <c r="G66" s="55"/>
      <c r="H66" s="42"/>
      <c r="I66" s="50">
        <v>20000</v>
      </c>
      <c r="J66" s="44"/>
      <c r="K66" s="51">
        <v>2169.5300000000002</v>
      </c>
      <c r="L66" s="42"/>
      <c r="M66" s="44"/>
      <c r="N66" s="44"/>
      <c r="O66" s="44"/>
      <c r="P66" s="46"/>
      <c r="Q66" s="52"/>
      <c r="R66" s="42"/>
      <c r="S66" s="53">
        <f t="shared" si="16"/>
        <v>0</v>
      </c>
      <c r="T66" s="43">
        <f t="shared" si="17"/>
        <v>0</v>
      </c>
      <c r="U66" s="42"/>
      <c r="V66" s="54">
        <v>5</v>
      </c>
      <c r="W66" s="55"/>
      <c r="X66" s="56">
        <f t="shared" si="18"/>
        <v>0</v>
      </c>
      <c r="Y66" s="56"/>
      <c r="Z66" s="57">
        <f t="shared" si="19"/>
        <v>0</v>
      </c>
    </row>
    <row r="67" spans="2:26" s="31" customFormat="1" x14ac:dyDescent="0.3">
      <c r="B67" s="32" t="s">
        <v>1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4"/>
      <c r="N67" s="42"/>
      <c r="O67" s="42"/>
      <c r="P67" s="42"/>
      <c r="Q67" s="42"/>
      <c r="R67" s="42"/>
      <c r="S67" s="46"/>
      <c r="T67" s="43"/>
      <c r="U67" s="42"/>
      <c r="V67" s="55"/>
      <c r="W67" s="55"/>
      <c r="X67" s="56"/>
      <c r="Y67" s="56"/>
      <c r="Z67" s="60"/>
    </row>
    <row r="68" spans="2:26" s="31" customFormat="1" x14ac:dyDescent="0.3">
      <c r="B68" s="32" t="s">
        <v>97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4"/>
      <c r="N68" s="42"/>
      <c r="O68" s="42"/>
      <c r="P68" s="42"/>
      <c r="Q68" s="42"/>
      <c r="R68" s="42"/>
      <c r="S68" s="46"/>
      <c r="T68" s="43"/>
      <c r="U68" s="42"/>
      <c r="V68" s="55"/>
      <c r="W68" s="55"/>
      <c r="X68" s="56">
        <f t="shared" ref="X68:X77" si="20">IF(S68=0,0,V68*$X$8*S68)</f>
        <v>0</v>
      </c>
      <c r="Y68" s="56"/>
      <c r="Z68" s="57">
        <f t="shared" ref="Z68:Z77" si="21">+X68+T68</f>
        <v>0</v>
      </c>
    </row>
    <row r="69" spans="2:26" s="31" customFormat="1" ht="15" x14ac:dyDescent="0.25">
      <c r="B69" s="48" t="s">
        <v>98</v>
      </c>
      <c r="C69" s="42" t="s">
        <v>99</v>
      </c>
      <c r="D69" s="42"/>
      <c r="E69" s="49">
        <v>1</v>
      </c>
      <c r="F69" s="42"/>
      <c r="G69" s="55"/>
      <c r="H69" s="42"/>
      <c r="I69" s="50">
        <v>15000</v>
      </c>
      <c r="J69" s="44"/>
      <c r="K69" s="51">
        <v>745.1</v>
      </c>
      <c r="L69" s="42"/>
      <c r="M69" s="44"/>
      <c r="N69" s="44"/>
      <c r="O69" s="44"/>
      <c r="P69" s="46"/>
      <c r="Q69" s="52"/>
      <c r="R69" s="42"/>
      <c r="S69" s="53">
        <f t="shared" ref="S69:S77" si="22">(IF(I69&gt;$P$11,0,E69))*(ROUNDDOWN($P$11/I69,0))</f>
        <v>0</v>
      </c>
      <c r="T69" s="43">
        <f t="shared" ref="T69:T77" si="23">S69*K69</f>
        <v>0</v>
      </c>
      <c r="U69" s="42"/>
      <c r="V69" s="54">
        <v>2</v>
      </c>
      <c r="W69" s="55"/>
      <c r="X69" s="56">
        <f t="shared" si="20"/>
        <v>0</v>
      </c>
      <c r="Y69" s="56"/>
      <c r="Z69" s="57">
        <f t="shared" si="21"/>
        <v>0</v>
      </c>
    </row>
    <row r="70" spans="2:26" s="31" customFormat="1" ht="15" x14ac:dyDescent="0.25">
      <c r="B70" s="48" t="s">
        <v>100</v>
      </c>
      <c r="C70" s="42" t="s">
        <v>101</v>
      </c>
      <c r="D70" s="42"/>
      <c r="E70" s="49">
        <v>2</v>
      </c>
      <c r="F70" s="42"/>
      <c r="G70" s="55"/>
      <c r="H70" s="42"/>
      <c r="I70" s="50">
        <v>15000</v>
      </c>
      <c r="J70" s="44"/>
      <c r="K70" s="51">
        <v>215.95</v>
      </c>
      <c r="L70" s="42"/>
      <c r="M70" s="44"/>
      <c r="N70" s="44"/>
      <c r="O70" s="44"/>
      <c r="P70" s="46"/>
      <c r="Q70" s="52"/>
      <c r="R70" s="42"/>
      <c r="S70" s="53">
        <f t="shared" si="22"/>
        <v>0</v>
      </c>
      <c r="T70" s="43">
        <f t="shared" si="23"/>
        <v>0</v>
      </c>
      <c r="U70" s="42"/>
      <c r="V70" s="54">
        <v>2</v>
      </c>
      <c r="W70" s="55"/>
      <c r="X70" s="56">
        <f t="shared" si="20"/>
        <v>0</v>
      </c>
      <c r="Y70" s="56"/>
      <c r="Z70" s="57">
        <f t="shared" si="21"/>
        <v>0</v>
      </c>
    </row>
    <row r="71" spans="2:26" s="31" customFormat="1" ht="15" x14ac:dyDescent="0.25">
      <c r="B71" s="48" t="s">
        <v>102</v>
      </c>
      <c r="C71" s="42" t="s">
        <v>103</v>
      </c>
      <c r="D71" s="42"/>
      <c r="E71" s="49">
        <v>1</v>
      </c>
      <c r="F71" s="42"/>
      <c r="G71" s="55"/>
      <c r="H71" s="42"/>
      <c r="I71" s="50">
        <v>15000</v>
      </c>
      <c r="J71" s="44"/>
      <c r="K71" s="51">
        <v>908.14</v>
      </c>
      <c r="L71" s="42"/>
      <c r="M71" s="44"/>
      <c r="N71" s="44"/>
      <c r="O71" s="44"/>
      <c r="P71" s="46"/>
      <c r="Q71" s="52"/>
      <c r="R71" s="42"/>
      <c r="S71" s="53">
        <f t="shared" si="22"/>
        <v>0</v>
      </c>
      <c r="T71" s="43">
        <f t="shared" si="23"/>
        <v>0</v>
      </c>
      <c r="U71" s="42"/>
      <c r="V71" s="54">
        <v>2</v>
      </c>
      <c r="W71" s="55"/>
      <c r="X71" s="56">
        <f t="shared" si="20"/>
        <v>0</v>
      </c>
      <c r="Y71" s="56"/>
      <c r="Z71" s="57">
        <f t="shared" si="21"/>
        <v>0</v>
      </c>
    </row>
    <row r="72" spans="2:26" s="31" customFormat="1" ht="15" x14ac:dyDescent="0.25">
      <c r="B72" s="48" t="s">
        <v>104</v>
      </c>
      <c r="C72" s="42" t="s">
        <v>105</v>
      </c>
      <c r="D72" s="42"/>
      <c r="E72" s="49">
        <v>2</v>
      </c>
      <c r="F72" s="42"/>
      <c r="G72" s="55"/>
      <c r="H72" s="42"/>
      <c r="I72" s="50">
        <v>15000</v>
      </c>
      <c r="J72" s="44"/>
      <c r="K72" s="51">
        <v>200.22</v>
      </c>
      <c r="L72" s="42"/>
      <c r="M72" s="44"/>
      <c r="N72" s="44"/>
      <c r="O72" s="44"/>
      <c r="P72" s="46"/>
      <c r="Q72" s="52"/>
      <c r="R72" s="42"/>
      <c r="S72" s="53">
        <f t="shared" si="22"/>
        <v>0</v>
      </c>
      <c r="T72" s="43">
        <f t="shared" si="23"/>
        <v>0</v>
      </c>
      <c r="U72" s="42"/>
      <c r="V72" s="54">
        <v>5</v>
      </c>
      <c r="W72" s="55"/>
      <c r="X72" s="56">
        <f t="shared" si="20"/>
        <v>0</v>
      </c>
      <c r="Y72" s="56"/>
      <c r="Z72" s="57">
        <f t="shared" si="21"/>
        <v>0</v>
      </c>
    </row>
    <row r="73" spans="2:26" s="31" customFormat="1" ht="15" x14ac:dyDescent="0.25">
      <c r="B73" s="48" t="s">
        <v>106</v>
      </c>
      <c r="C73" s="42" t="s">
        <v>107</v>
      </c>
      <c r="D73" s="42"/>
      <c r="E73" s="49">
        <v>1</v>
      </c>
      <c r="F73" s="42"/>
      <c r="G73" s="55"/>
      <c r="H73" s="42"/>
      <c r="I73" s="50">
        <v>15000</v>
      </c>
      <c r="J73" s="44"/>
      <c r="K73" s="51">
        <v>378.99</v>
      </c>
      <c r="L73" s="42"/>
      <c r="M73" s="44"/>
      <c r="N73" s="44"/>
      <c r="O73" s="44"/>
      <c r="P73" s="46"/>
      <c r="Q73" s="52"/>
      <c r="R73" s="42"/>
      <c r="S73" s="53">
        <f t="shared" si="22"/>
        <v>0</v>
      </c>
      <c r="T73" s="43">
        <f t="shared" si="23"/>
        <v>0</v>
      </c>
      <c r="U73" s="42"/>
      <c r="V73" s="54">
        <v>2</v>
      </c>
      <c r="W73" s="55"/>
      <c r="X73" s="56">
        <f t="shared" si="20"/>
        <v>0</v>
      </c>
      <c r="Y73" s="56"/>
      <c r="Z73" s="57">
        <f t="shared" si="21"/>
        <v>0</v>
      </c>
    </row>
    <row r="74" spans="2:26" s="31" customFormat="1" ht="15" x14ac:dyDescent="0.25">
      <c r="B74" s="48" t="s">
        <v>108</v>
      </c>
      <c r="C74" s="42" t="s">
        <v>109</v>
      </c>
      <c r="D74" s="42"/>
      <c r="E74" s="49">
        <v>1</v>
      </c>
      <c r="F74" s="42"/>
      <c r="G74" s="55"/>
      <c r="H74" s="42"/>
      <c r="I74" s="50">
        <v>15000</v>
      </c>
      <c r="J74" s="44"/>
      <c r="K74" s="51">
        <v>860.95</v>
      </c>
      <c r="L74" s="42"/>
      <c r="M74" s="44"/>
      <c r="N74" s="44"/>
      <c r="O74" s="44"/>
      <c r="P74" s="46"/>
      <c r="Q74" s="52"/>
      <c r="R74" s="42"/>
      <c r="S74" s="53">
        <f t="shared" si="22"/>
        <v>0</v>
      </c>
      <c r="T74" s="43">
        <f t="shared" si="23"/>
        <v>0</v>
      </c>
      <c r="U74" s="42"/>
      <c r="V74" s="54">
        <v>2</v>
      </c>
      <c r="W74" s="55"/>
      <c r="X74" s="56">
        <f t="shared" si="20"/>
        <v>0</v>
      </c>
      <c r="Y74" s="56"/>
      <c r="Z74" s="57">
        <f t="shared" si="21"/>
        <v>0</v>
      </c>
    </row>
    <row r="75" spans="2:26" s="31" customFormat="1" ht="15" x14ac:dyDescent="0.25">
      <c r="B75" s="48" t="s">
        <v>106</v>
      </c>
      <c r="C75" s="42" t="s">
        <v>110</v>
      </c>
      <c r="D75" s="42"/>
      <c r="E75" s="49">
        <v>1</v>
      </c>
      <c r="F75" s="42"/>
      <c r="G75" s="55"/>
      <c r="H75" s="42"/>
      <c r="I75" s="50">
        <v>15000</v>
      </c>
      <c r="J75" s="44"/>
      <c r="K75" s="51">
        <v>378.99</v>
      </c>
      <c r="L75" s="42"/>
      <c r="M75" s="44"/>
      <c r="N75" s="44"/>
      <c r="O75" s="44"/>
      <c r="P75" s="46"/>
      <c r="Q75" s="52"/>
      <c r="R75" s="42"/>
      <c r="S75" s="53">
        <f t="shared" si="22"/>
        <v>0</v>
      </c>
      <c r="T75" s="43">
        <f t="shared" si="23"/>
        <v>0</v>
      </c>
      <c r="U75" s="42"/>
      <c r="V75" s="54">
        <v>2</v>
      </c>
      <c r="W75" s="55"/>
      <c r="X75" s="56">
        <f t="shared" si="20"/>
        <v>0</v>
      </c>
      <c r="Y75" s="56"/>
      <c r="Z75" s="57">
        <f t="shared" si="21"/>
        <v>0</v>
      </c>
    </row>
    <row r="76" spans="2:26" s="31" customFormat="1" ht="15" x14ac:dyDescent="0.25">
      <c r="B76" s="48" t="s">
        <v>111</v>
      </c>
      <c r="C76" s="42" t="s">
        <v>112</v>
      </c>
      <c r="D76" s="42"/>
      <c r="E76" s="49">
        <v>2</v>
      </c>
      <c r="F76" s="42"/>
      <c r="G76" s="55"/>
      <c r="H76" s="42"/>
      <c r="I76" s="50">
        <v>10000</v>
      </c>
      <c r="J76" s="44"/>
      <c r="K76" s="51">
        <v>80.09</v>
      </c>
      <c r="L76" s="42"/>
      <c r="M76" s="44"/>
      <c r="N76" s="44"/>
      <c r="O76" s="44"/>
      <c r="P76" s="46"/>
      <c r="Q76" s="52"/>
      <c r="R76" s="42"/>
      <c r="S76" s="53">
        <f t="shared" si="22"/>
        <v>0</v>
      </c>
      <c r="T76" s="43">
        <f t="shared" si="23"/>
        <v>0</v>
      </c>
      <c r="U76" s="42"/>
      <c r="V76" s="54">
        <v>1.5</v>
      </c>
      <c r="W76" s="55"/>
      <c r="X76" s="56">
        <f t="shared" si="20"/>
        <v>0</v>
      </c>
      <c r="Y76" s="56"/>
      <c r="Z76" s="57">
        <f t="shared" si="21"/>
        <v>0</v>
      </c>
    </row>
    <row r="77" spans="2:26" s="31" customFormat="1" ht="15" x14ac:dyDescent="0.25">
      <c r="B77" s="48" t="s">
        <v>113</v>
      </c>
      <c r="C77" s="42" t="s">
        <v>114</v>
      </c>
      <c r="D77" s="42"/>
      <c r="E77" s="49">
        <v>1</v>
      </c>
      <c r="F77" s="42"/>
      <c r="G77" s="55"/>
      <c r="H77" s="42"/>
      <c r="I77" s="50">
        <v>10000</v>
      </c>
      <c r="J77" s="44"/>
      <c r="K77" s="51">
        <v>350.39</v>
      </c>
      <c r="L77" s="42"/>
      <c r="M77" s="44"/>
      <c r="N77" s="44"/>
      <c r="O77" s="44"/>
      <c r="P77" s="46"/>
      <c r="Q77" s="52"/>
      <c r="R77" s="42"/>
      <c r="S77" s="53">
        <f t="shared" si="22"/>
        <v>0</v>
      </c>
      <c r="T77" s="43">
        <f t="shared" si="23"/>
        <v>0</v>
      </c>
      <c r="U77" s="42"/>
      <c r="V77" s="54">
        <v>0.5</v>
      </c>
      <c r="W77" s="55"/>
      <c r="X77" s="56">
        <f t="shared" si="20"/>
        <v>0</v>
      </c>
      <c r="Y77" s="56"/>
      <c r="Z77" s="57">
        <f t="shared" si="21"/>
        <v>0</v>
      </c>
    </row>
    <row r="78" spans="2:26" s="31" customFormat="1" ht="15" x14ac:dyDescent="0.25">
      <c r="B78" s="59" t="s">
        <v>1</v>
      </c>
      <c r="C78" s="42"/>
      <c r="D78" s="42"/>
      <c r="E78" s="42"/>
      <c r="F78" s="42"/>
      <c r="G78" s="55"/>
      <c r="H78" s="42"/>
      <c r="I78" s="44"/>
      <c r="J78" s="44"/>
      <c r="K78" s="44"/>
      <c r="L78" s="42"/>
      <c r="M78" s="44"/>
      <c r="N78" s="44"/>
      <c r="O78" s="44"/>
      <c r="P78" s="46"/>
      <c r="Q78" s="52"/>
      <c r="R78" s="42"/>
      <c r="S78" s="53"/>
      <c r="T78" s="43"/>
      <c r="U78" s="42"/>
      <c r="V78" s="55"/>
      <c r="W78" s="55"/>
      <c r="X78" s="56"/>
      <c r="Y78" s="56"/>
      <c r="Z78" s="60"/>
    </row>
    <row r="79" spans="2:26" s="31" customFormat="1" x14ac:dyDescent="0.3">
      <c r="B79" s="32" t="s">
        <v>115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4"/>
      <c r="N79" s="42"/>
      <c r="O79" s="42"/>
      <c r="P79" s="42"/>
      <c r="Q79" s="42"/>
      <c r="R79" s="42"/>
      <c r="S79" s="46"/>
      <c r="T79" s="43"/>
      <c r="U79" s="42"/>
      <c r="V79" s="55"/>
      <c r="W79" s="55"/>
      <c r="X79" s="56"/>
      <c r="Y79" s="56"/>
      <c r="Z79" s="60"/>
    </row>
    <row r="80" spans="2:26" s="31" customFormat="1" ht="15" x14ac:dyDescent="0.25">
      <c r="B80" s="48" t="s">
        <v>116</v>
      </c>
      <c r="C80" s="42" t="s">
        <v>117</v>
      </c>
      <c r="D80" s="42"/>
      <c r="E80" s="49">
        <v>1</v>
      </c>
      <c r="F80" s="42"/>
      <c r="G80" s="55"/>
      <c r="H80" s="42"/>
      <c r="I80" s="50">
        <v>5000</v>
      </c>
      <c r="J80" s="44"/>
      <c r="K80" s="51">
        <v>1821.84</v>
      </c>
      <c r="L80" s="42"/>
      <c r="M80" s="44"/>
      <c r="N80" s="44"/>
      <c r="O80" s="44"/>
      <c r="P80" s="46"/>
      <c r="Q80" s="52"/>
      <c r="R80" s="42"/>
      <c r="S80" s="53">
        <f>(IF(I80&gt;$P$11,0,E80))*(ROUNDDOWN($P$11/I80,0))</f>
        <v>0</v>
      </c>
      <c r="T80" s="43">
        <f>S80*K80</f>
        <v>0</v>
      </c>
      <c r="U80" s="42"/>
      <c r="V80" s="54">
        <v>3.25</v>
      </c>
      <c r="W80" s="55"/>
      <c r="X80" s="56">
        <f t="shared" ref="X80:X93" si="24">IF(S80=0,0,V80*$X$8*S80)</f>
        <v>0</v>
      </c>
      <c r="Y80" s="56"/>
      <c r="Z80" s="57">
        <f t="shared" ref="Z80:Z93" si="25">+X80+T80</f>
        <v>0</v>
      </c>
    </row>
    <row r="81" spans="2:26" s="31" customFormat="1" ht="15" x14ac:dyDescent="0.25">
      <c r="B81" s="48" t="s">
        <v>118</v>
      </c>
      <c r="C81" s="42" t="s">
        <v>119</v>
      </c>
      <c r="D81" s="42"/>
      <c r="E81" s="49">
        <v>1</v>
      </c>
      <c r="F81" s="42"/>
      <c r="G81" s="55"/>
      <c r="H81" s="42"/>
      <c r="I81" s="50">
        <v>5000</v>
      </c>
      <c r="J81" s="44"/>
      <c r="K81" s="51">
        <v>137.49</v>
      </c>
      <c r="L81" s="42"/>
      <c r="M81" s="44"/>
      <c r="N81" s="44"/>
      <c r="O81" s="44"/>
      <c r="P81" s="46"/>
      <c r="Q81" s="52"/>
      <c r="R81" s="42"/>
      <c r="S81" s="53">
        <f>(IF(I81&gt;$P$11,0,E81))*(ROUNDDOWN($P$11/I81,0))</f>
        <v>0</v>
      </c>
      <c r="T81" s="43">
        <f>S81*K81</f>
        <v>0</v>
      </c>
      <c r="U81" s="42"/>
      <c r="V81" s="54">
        <v>2.5</v>
      </c>
      <c r="W81" s="55"/>
      <c r="X81" s="56">
        <f t="shared" si="24"/>
        <v>0</v>
      </c>
      <c r="Y81" s="56"/>
      <c r="Z81" s="57">
        <f t="shared" si="25"/>
        <v>0</v>
      </c>
    </row>
    <row r="82" spans="2:26" s="31" customFormat="1" ht="15" x14ac:dyDescent="0.25">
      <c r="B82" s="59" t="s">
        <v>1</v>
      </c>
      <c r="C82" s="42"/>
      <c r="D82" s="42"/>
      <c r="E82" s="42"/>
      <c r="F82" s="42"/>
      <c r="G82" s="55"/>
      <c r="H82" s="42"/>
      <c r="I82" s="44"/>
      <c r="J82" s="44"/>
      <c r="K82" s="44"/>
      <c r="L82" s="42"/>
      <c r="M82" s="44"/>
      <c r="N82" s="44"/>
      <c r="O82" s="44"/>
      <c r="P82" s="46"/>
      <c r="Q82" s="52"/>
      <c r="R82" s="42"/>
      <c r="S82" s="53"/>
      <c r="T82" s="43"/>
      <c r="U82" s="42"/>
      <c r="V82" s="55"/>
      <c r="W82" s="55"/>
      <c r="X82" s="56"/>
      <c r="Y82" s="56"/>
      <c r="Z82" s="57"/>
    </row>
    <row r="83" spans="2:26" s="31" customFormat="1" x14ac:dyDescent="0.3">
      <c r="B83" s="32" t="s">
        <v>120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4"/>
      <c r="N83" s="42"/>
      <c r="O83" s="42"/>
      <c r="P83" s="42"/>
      <c r="Q83" s="42"/>
      <c r="R83" s="42"/>
      <c r="S83" s="46"/>
      <c r="T83" s="43"/>
      <c r="U83" s="42"/>
      <c r="V83" s="55"/>
      <c r="W83" s="55"/>
      <c r="X83" s="56"/>
      <c r="Y83" s="56"/>
      <c r="Z83" s="57"/>
    </row>
    <row r="84" spans="2:26" s="31" customFormat="1" x14ac:dyDescent="0.3">
      <c r="B84" s="48" t="s">
        <v>121</v>
      </c>
      <c r="C84" s="42" t="s">
        <v>122</v>
      </c>
      <c r="D84" s="42"/>
      <c r="E84" s="49">
        <v>1</v>
      </c>
      <c r="F84" s="42"/>
      <c r="G84" s="34"/>
      <c r="H84" s="42"/>
      <c r="I84" s="50">
        <v>20000</v>
      </c>
      <c r="J84" s="44"/>
      <c r="K84" s="51">
        <v>10279.66</v>
      </c>
      <c r="L84" s="42"/>
      <c r="M84" s="44"/>
      <c r="N84" s="44"/>
      <c r="O84" s="44"/>
      <c r="P84" s="46"/>
      <c r="Q84" s="52"/>
      <c r="R84" s="42"/>
      <c r="S84" s="53">
        <f t="shared" ref="S84:S93" si="26">(IF(I84&gt;$P$11,0,E84))*(ROUNDDOWN($P$11/I84,0))</f>
        <v>0</v>
      </c>
      <c r="T84" s="43">
        <f t="shared" ref="T84:T93" si="27">S84*K84</f>
        <v>0</v>
      </c>
      <c r="U84" s="42"/>
      <c r="V84" s="54">
        <v>4</v>
      </c>
      <c r="W84" s="55"/>
      <c r="X84" s="56">
        <f t="shared" si="24"/>
        <v>0</v>
      </c>
      <c r="Y84" s="56"/>
      <c r="Z84" s="57">
        <f t="shared" si="25"/>
        <v>0</v>
      </c>
    </row>
    <row r="85" spans="2:26" s="31" customFormat="1" x14ac:dyDescent="0.3">
      <c r="B85" s="67" t="s">
        <v>123</v>
      </c>
      <c r="C85" s="42" t="s">
        <v>124</v>
      </c>
      <c r="D85" s="42"/>
      <c r="E85" s="49">
        <v>1</v>
      </c>
      <c r="F85" s="42"/>
      <c r="G85" s="34"/>
      <c r="H85" s="42"/>
      <c r="I85" s="50">
        <v>4000</v>
      </c>
      <c r="J85" s="44"/>
      <c r="K85" s="51">
        <v>184.29</v>
      </c>
      <c r="L85" s="42"/>
      <c r="M85" s="44"/>
      <c r="N85" s="44"/>
      <c r="O85" s="44"/>
      <c r="P85" s="46"/>
      <c r="Q85" s="52"/>
      <c r="R85" s="42"/>
      <c r="S85" s="53">
        <f t="shared" si="26"/>
        <v>0</v>
      </c>
      <c r="T85" s="43">
        <f t="shared" si="27"/>
        <v>0</v>
      </c>
      <c r="U85" s="42"/>
      <c r="V85" s="54">
        <v>1</v>
      </c>
      <c r="W85" s="55"/>
      <c r="X85" s="56">
        <f t="shared" si="24"/>
        <v>0</v>
      </c>
      <c r="Y85" s="56"/>
      <c r="Z85" s="57">
        <f t="shared" si="25"/>
        <v>0</v>
      </c>
    </row>
    <row r="86" spans="2:26" s="31" customFormat="1" x14ac:dyDescent="0.3">
      <c r="B86" s="67" t="s">
        <v>125</v>
      </c>
      <c r="C86" s="42" t="s">
        <v>126</v>
      </c>
      <c r="D86" s="42"/>
      <c r="E86" s="49">
        <v>1</v>
      </c>
      <c r="F86" s="42"/>
      <c r="G86" s="34"/>
      <c r="H86" s="42"/>
      <c r="I86" s="50">
        <v>4000</v>
      </c>
      <c r="J86" s="44"/>
      <c r="K86" s="51">
        <v>241.08</v>
      </c>
      <c r="L86" s="42"/>
      <c r="M86" s="44"/>
      <c r="N86" s="44"/>
      <c r="O86" s="44"/>
      <c r="P86" s="46"/>
      <c r="Q86" s="52"/>
      <c r="R86" s="42"/>
      <c r="S86" s="53">
        <f t="shared" si="26"/>
        <v>0</v>
      </c>
      <c r="T86" s="43">
        <f t="shared" si="27"/>
        <v>0</v>
      </c>
      <c r="U86" s="42"/>
      <c r="V86" s="54">
        <v>1.5</v>
      </c>
      <c r="W86" s="55"/>
      <c r="X86" s="56">
        <f t="shared" si="24"/>
        <v>0</v>
      </c>
      <c r="Y86" s="56"/>
      <c r="Z86" s="57">
        <f t="shared" si="25"/>
        <v>0</v>
      </c>
    </row>
    <row r="87" spans="2:26" s="31" customFormat="1" x14ac:dyDescent="0.3">
      <c r="B87" s="67" t="s">
        <v>127</v>
      </c>
      <c r="C87" s="42" t="s">
        <v>128</v>
      </c>
      <c r="D87" s="42"/>
      <c r="E87" s="49">
        <v>1</v>
      </c>
      <c r="F87" s="42"/>
      <c r="G87" s="34"/>
      <c r="H87" s="42"/>
      <c r="I87" s="50">
        <v>15000</v>
      </c>
      <c r="J87" s="44"/>
      <c r="K87" s="51">
        <v>3850.39</v>
      </c>
      <c r="L87" s="42"/>
      <c r="M87" s="44"/>
      <c r="N87" s="44"/>
      <c r="O87" s="44"/>
      <c r="P87" s="46"/>
      <c r="Q87" s="52"/>
      <c r="R87" s="42"/>
      <c r="S87" s="53">
        <f t="shared" si="26"/>
        <v>0</v>
      </c>
      <c r="T87" s="43">
        <f t="shared" si="27"/>
        <v>0</v>
      </c>
      <c r="U87" s="42"/>
      <c r="V87" s="54">
        <v>3</v>
      </c>
      <c r="W87" s="55"/>
      <c r="X87" s="56">
        <f t="shared" si="24"/>
        <v>0</v>
      </c>
      <c r="Y87" s="56"/>
      <c r="Z87" s="57">
        <f t="shared" si="25"/>
        <v>0</v>
      </c>
    </row>
    <row r="88" spans="2:26" s="31" customFormat="1" ht="15" x14ac:dyDescent="0.25">
      <c r="B88" s="67" t="s">
        <v>129</v>
      </c>
      <c r="C88" s="42" t="s">
        <v>130</v>
      </c>
      <c r="D88" s="42"/>
      <c r="E88" s="49">
        <v>2</v>
      </c>
      <c r="F88" s="42"/>
      <c r="G88" s="55"/>
      <c r="H88" s="42"/>
      <c r="I88" s="50">
        <v>2000</v>
      </c>
      <c r="J88" s="44"/>
      <c r="K88" s="51">
        <v>238.94</v>
      </c>
      <c r="L88" s="42"/>
      <c r="M88" s="44"/>
      <c r="N88" s="44"/>
      <c r="O88" s="44"/>
      <c r="P88" s="46"/>
      <c r="Q88" s="52"/>
      <c r="R88" s="42"/>
      <c r="S88" s="53">
        <f t="shared" si="26"/>
        <v>2</v>
      </c>
      <c r="T88" s="43">
        <f t="shared" si="27"/>
        <v>477.88</v>
      </c>
      <c r="U88" s="42"/>
      <c r="V88" s="54">
        <v>0.5</v>
      </c>
      <c r="W88" s="55"/>
      <c r="X88" s="56">
        <f t="shared" si="24"/>
        <v>0</v>
      </c>
      <c r="Y88" s="56"/>
      <c r="Z88" s="57">
        <f t="shared" si="25"/>
        <v>477.88</v>
      </c>
    </row>
    <row r="89" spans="2:26" s="31" customFormat="1" ht="15" x14ac:dyDescent="0.25">
      <c r="B89" s="67" t="s">
        <v>131</v>
      </c>
      <c r="C89" s="42" t="s">
        <v>132</v>
      </c>
      <c r="D89" s="42"/>
      <c r="E89" s="49">
        <v>4</v>
      </c>
      <c r="F89" s="42"/>
      <c r="G89" s="55"/>
      <c r="H89" s="42"/>
      <c r="I89" s="50">
        <v>2000</v>
      </c>
      <c r="J89" s="44"/>
      <c r="K89" s="51">
        <v>84.71</v>
      </c>
      <c r="L89" s="42"/>
      <c r="M89" s="44"/>
      <c r="N89" s="44"/>
      <c r="O89" s="44"/>
      <c r="P89" s="46"/>
      <c r="Q89" s="68"/>
      <c r="R89" s="42"/>
      <c r="S89" s="53">
        <f t="shared" si="26"/>
        <v>4</v>
      </c>
      <c r="T89" s="43">
        <f t="shared" si="27"/>
        <v>338.84</v>
      </c>
      <c r="U89" s="42"/>
      <c r="V89" s="54">
        <v>0.5</v>
      </c>
      <c r="W89" s="55"/>
      <c r="X89" s="56">
        <f t="shared" si="24"/>
        <v>0</v>
      </c>
      <c r="Y89" s="56"/>
      <c r="Z89" s="57">
        <f t="shared" si="25"/>
        <v>338.84</v>
      </c>
    </row>
    <row r="90" spans="2:26" s="31" customFormat="1" ht="15" x14ac:dyDescent="0.25">
      <c r="B90" s="67" t="s">
        <v>206</v>
      </c>
      <c r="C90" s="42" t="s">
        <v>205</v>
      </c>
      <c r="D90" s="42"/>
      <c r="E90" s="49">
        <v>1</v>
      </c>
      <c r="F90" s="42"/>
      <c r="G90" s="55"/>
      <c r="H90" s="42"/>
      <c r="I90" s="50">
        <v>2000</v>
      </c>
      <c r="J90" s="44"/>
      <c r="K90" s="51">
        <v>227.39</v>
      </c>
      <c r="L90" s="42"/>
      <c r="M90" s="44"/>
      <c r="N90" s="44"/>
      <c r="O90" s="44"/>
      <c r="P90" s="46"/>
      <c r="Q90" s="68"/>
      <c r="R90" s="42"/>
      <c r="S90" s="53">
        <f t="shared" si="26"/>
        <v>1</v>
      </c>
      <c r="T90" s="43">
        <f t="shared" si="27"/>
        <v>227.39</v>
      </c>
      <c r="U90" s="42"/>
      <c r="V90" s="54">
        <v>0.5</v>
      </c>
      <c r="W90" s="55"/>
      <c r="X90" s="56"/>
      <c r="Y90" s="56"/>
      <c r="Z90" s="57"/>
    </row>
    <row r="91" spans="2:26" s="31" customFormat="1" ht="15" x14ac:dyDescent="0.25">
      <c r="B91" s="67" t="s">
        <v>217</v>
      </c>
      <c r="C91" s="42" t="s">
        <v>207</v>
      </c>
      <c r="D91" s="42"/>
      <c r="E91" s="49">
        <v>1</v>
      </c>
      <c r="F91" s="42"/>
      <c r="G91" s="55"/>
      <c r="H91" s="42"/>
      <c r="I91" s="50">
        <v>2000</v>
      </c>
      <c r="J91" s="44"/>
      <c r="K91" s="51">
        <v>929.59</v>
      </c>
      <c r="L91" s="42"/>
      <c r="M91" s="44"/>
      <c r="N91" s="44"/>
      <c r="O91" s="44"/>
      <c r="P91" s="46"/>
      <c r="Q91" s="68"/>
      <c r="R91" s="42"/>
      <c r="S91" s="53">
        <f t="shared" si="26"/>
        <v>1</v>
      </c>
      <c r="T91" s="43">
        <f t="shared" si="27"/>
        <v>929.59</v>
      </c>
      <c r="U91" s="42"/>
      <c r="V91" s="54">
        <v>0.5</v>
      </c>
      <c r="W91" s="55"/>
      <c r="X91" s="56"/>
      <c r="Y91" s="56"/>
      <c r="Z91" s="57"/>
    </row>
    <row r="92" spans="2:26" s="31" customFormat="1" x14ac:dyDescent="0.3">
      <c r="B92" s="67" t="s">
        <v>208</v>
      </c>
      <c r="C92" s="42" t="s">
        <v>209</v>
      </c>
      <c r="D92" s="42"/>
      <c r="E92" s="49">
        <v>1</v>
      </c>
      <c r="F92" s="42"/>
      <c r="G92" s="55"/>
      <c r="H92" s="42"/>
      <c r="I92" s="50">
        <v>15000</v>
      </c>
      <c r="J92" s="44"/>
      <c r="K92" s="51">
        <v>59.36</v>
      </c>
      <c r="L92" s="42"/>
      <c r="M92" s="44"/>
      <c r="N92" s="44"/>
      <c r="O92" s="44"/>
      <c r="P92" s="46"/>
      <c r="Q92" s="68"/>
      <c r="R92" s="42"/>
      <c r="S92" s="53">
        <f t="shared" si="26"/>
        <v>0</v>
      </c>
      <c r="T92" s="43">
        <f t="shared" si="27"/>
        <v>0</v>
      </c>
      <c r="U92" s="42"/>
      <c r="V92" s="54">
        <v>2</v>
      </c>
      <c r="W92" s="55"/>
      <c r="X92" s="56">
        <f t="shared" si="24"/>
        <v>0</v>
      </c>
      <c r="Y92" s="56"/>
      <c r="Z92" s="40">
        <f t="shared" si="25"/>
        <v>0</v>
      </c>
    </row>
    <row r="93" spans="2:26" s="82" customFormat="1" x14ac:dyDescent="0.3">
      <c r="B93" s="69" t="s">
        <v>133</v>
      </c>
      <c r="C93" s="70" t="s">
        <v>134</v>
      </c>
      <c r="D93" s="70"/>
      <c r="E93" s="71">
        <v>1</v>
      </c>
      <c r="F93" s="70"/>
      <c r="G93" s="72"/>
      <c r="H93" s="70"/>
      <c r="I93" s="73">
        <v>15000</v>
      </c>
      <c r="J93" s="74"/>
      <c r="K93" s="210">
        <v>2182.4</v>
      </c>
      <c r="L93" s="70"/>
      <c r="M93" s="74"/>
      <c r="N93" s="74"/>
      <c r="O93" s="74"/>
      <c r="P93" s="75"/>
      <c r="Q93" s="76"/>
      <c r="R93" s="70"/>
      <c r="S93" s="77">
        <f t="shared" si="26"/>
        <v>0</v>
      </c>
      <c r="T93" s="78">
        <f t="shared" si="27"/>
        <v>0</v>
      </c>
      <c r="U93" s="70"/>
      <c r="V93" s="79">
        <v>0.75</v>
      </c>
      <c r="W93" s="72"/>
      <c r="X93" s="80">
        <f t="shared" si="24"/>
        <v>0</v>
      </c>
      <c r="Y93" s="80"/>
      <c r="Z93" s="81">
        <f t="shared" si="25"/>
        <v>0</v>
      </c>
    </row>
    <row r="94" spans="2:26" s="31" customFormat="1" x14ac:dyDescent="0.3">
      <c r="B94" s="48" t="s">
        <v>1</v>
      </c>
      <c r="C94" s="42"/>
      <c r="D94" s="42"/>
      <c r="E94" s="42"/>
      <c r="F94" s="42"/>
      <c r="G94" s="55"/>
      <c r="H94" s="42"/>
      <c r="I94" s="44"/>
      <c r="J94" s="44"/>
      <c r="K94" s="43"/>
      <c r="L94" s="42"/>
      <c r="M94" s="44"/>
      <c r="N94" s="44"/>
      <c r="O94" s="44"/>
      <c r="P94" s="46"/>
      <c r="Q94" s="44"/>
      <c r="R94" s="42"/>
      <c r="S94" s="53"/>
      <c r="T94" s="38">
        <f>+SUM(T12:T93)</f>
        <v>1973.7000000000003</v>
      </c>
      <c r="U94" s="42"/>
      <c r="V94" s="55"/>
      <c r="W94" s="55"/>
      <c r="X94" s="35">
        <f>SUM(X12:X93)</f>
        <v>0</v>
      </c>
      <c r="Y94" s="56"/>
      <c r="Z94" s="83">
        <f>SUM(Z12:Z93)</f>
        <v>816.72</v>
      </c>
    </row>
    <row r="95" spans="2:26" x14ac:dyDescent="0.3">
      <c r="B95" s="4" t="s">
        <v>1</v>
      </c>
      <c r="C95" s="8"/>
      <c r="D95" s="8"/>
      <c r="E95" s="8"/>
      <c r="F95" s="8"/>
      <c r="G95" s="8"/>
      <c r="H95" s="8"/>
      <c r="I95" s="9"/>
      <c r="J95" s="9"/>
      <c r="K95" s="84"/>
      <c r="L95" s="85"/>
      <c r="M95" s="86"/>
      <c r="N95" s="85"/>
      <c r="O95" s="87" t="s">
        <v>135</v>
      </c>
      <c r="P95" s="87"/>
      <c r="Q95" s="88"/>
      <c r="R95" s="89"/>
      <c r="S95" s="90"/>
      <c r="T95" s="88">
        <f>SUM(T12:T93)/$P$11</f>
        <v>0.65798773169755975</v>
      </c>
      <c r="U95" s="8"/>
      <c r="V95" s="11"/>
      <c r="W95" s="11"/>
      <c r="X95" s="27">
        <f>SUM(X12:X93)/P11</f>
        <v>0</v>
      </c>
      <c r="Y95" s="27"/>
      <c r="Z95" s="91">
        <f>Z94/P11</f>
        <v>0.27227630350713428</v>
      </c>
    </row>
    <row r="96" spans="2:26" x14ac:dyDescent="0.3">
      <c r="B96" s="4" t="s">
        <v>1</v>
      </c>
      <c r="C96" s="8"/>
      <c r="D96" s="8"/>
      <c r="E96" s="8"/>
      <c r="F96" s="8"/>
      <c r="G96" s="8"/>
      <c r="H96" s="8"/>
      <c r="I96" s="9"/>
      <c r="J96" s="9"/>
      <c r="K96" s="84"/>
      <c r="L96" s="85"/>
      <c r="M96" s="86"/>
      <c r="N96" s="85"/>
      <c r="O96" s="86"/>
      <c r="P96" s="86"/>
      <c r="Q96" s="86"/>
      <c r="R96" s="85"/>
      <c r="S96" s="90"/>
      <c r="T96" s="84"/>
      <c r="U96" s="8"/>
      <c r="V96" s="11"/>
      <c r="W96" s="11"/>
      <c r="X96" s="27"/>
      <c r="Y96" s="27"/>
      <c r="Z96" s="13"/>
    </row>
    <row r="97" spans="2:26" x14ac:dyDescent="0.3">
      <c r="B97" s="4" t="s">
        <v>1</v>
      </c>
      <c r="C97" s="8"/>
      <c r="D97" s="8"/>
      <c r="E97" s="8"/>
      <c r="F97" s="8"/>
      <c r="G97" s="8"/>
      <c r="H97" s="8"/>
      <c r="I97" s="9"/>
      <c r="J97" s="9"/>
      <c r="K97" s="88" t="s">
        <v>136</v>
      </c>
      <c r="L97" s="85"/>
      <c r="M97" s="86"/>
      <c r="N97" s="85"/>
      <c r="O97" s="87"/>
      <c r="P97" s="87"/>
      <c r="Q97" s="92">
        <f>'cover sheet'!K22</f>
        <v>0.15</v>
      </c>
      <c r="R97" s="89"/>
      <c r="S97" s="93"/>
      <c r="T97" s="88">
        <f>Q97*T95</f>
        <v>9.869815975463396E-2</v>
      </c>
      <c r="U97" s="8"/>
      <c r="V97" s="11"/>
      <c r="W97" s="11"/>
      <c r="X97" s="12"/>
      <c r="Y97" s="12"/>
      <c r="Z97" s="13"/>
    </row>
    <row r="98" spans="2:26" x14ac:dyDescent="0.3">
      <c r="B98" s="4" t="s">
        <v>1</v>
      </c>
      <c r="C98" s="8"/>
      <c r="D98" s="8"/>
      <c r="E98" s="8"/>
      <c r="F98" s="8"/>
      <c r="G98" s="8"/>
      <c r="H98" s="8"/>
      <c r="I98" s="8"/>
      <c r="J98" s="8"/>
      <c r="K98" s="84"/>
      <c r="L98" s="85"/>
      <c r="M98" s="86"/>
      <c r="N98" s="85"/>
      <c r="O98" s="94"/>
      <c r="P98" s="94" t="s">
        <v>6</v>
      </c>
      <c r="Q98" s="95"/>
      <c r="R98" s="85"/>
      <c r="S98" s="96"/>
      <c r="T98" s="88">
        <f>X95</f>
        <v>0</v>
      </c>
      <c r="U98" s="8"/>
      <c r="V98" s="11"/>
      <c r="W98" s="11"/>
      <c r="X98" s="12"/>
      <c r="Y98" s="12"/>
      <c r="Z98" s="13"/>
    </row>
    <row r="99" spans="2:26" x14ac:dyDescent="0.3">
      <c r="B99" s="4" t="s">
        <v>1</v>
      </c>
      <c r="C99" s="8"/>
      <c r="D99" s="8"/>
      <c r="E99" s="8"/>
      <c r="F99" s="8"/>
      <c r="G99" s="8"/>
      <c r="H99" s="8"/>
      <c r="I99" s="8"/>
      <c r="J99" s="8"/>
      <c r="K99" s="88"/>
      <c r="L99" s="94"/>
      <c r="M99" s="87"/>
      <c r="N99" s="94"/>
      <c r="O99" s="94"/>
      <c r="P99" s="94" t="s">
        <v>137</v>
      </c>
      <c r="Q99" s="94"/>
      <c r="R99" s="94"/>
      <c r="S99" s="93"/>
      <c r="T99" s="97">
        <f>S148</f>
        <v>1.1340245366048807</v>
      </c>
      <c r="U99" s="98"/>
      <c r="V99" s="11"/>
      <c r="W99" s="11"/>
      <c r="X99" s="12"/>
      <c r="Y99" s="12"/>
      <c r="Z99" s="13"/>
    </row>
    <row r="100" spans="2:26" x14ac:dyDescent="0.3">
      <c r="B100" s="4" t="s">
        <v>1</v>
      </c>
      <c r="C100" s="8"/>
      <c r="D100" s="8"/>
      <c r="E100" s="8"/>
      <c r="F100" s="8"/>
      <c r="G100" s="8"/>
      <c r="H100" s="8"/>
      <c r="I100" s="8"/>
      <c r="J100" s="8"/>
      <c r="K100" s="88" t="s">
        <v>138</v>
      </c>
      <c r="L100" s="94"/>
      <c r="M100" s="87"/>
      <c r="N100" s="94"/>
      <c r="O100" s="94"/>
      <c r="P100" s="94"/>
      <c r="Q100" s="94"/>
      <c r="R100" s="94"/>
      <c r="S100" s="93"/>
      <c r="T100" s="99"/>
      <c r="U100" s="8"/>
      <c r="V100" s="34"/>
      <c r="W100" s="11"/>
      <c r="X100" s="12"/>
      <c r="Y100" s="12"/>
      <c r="Z100" s="13"/>
    </row>
    <row r="101" spans="2:26" x14ac:dyDescent="0.3">
      <c r="B101" s="4" t="s">
        <v>1</v>
      </c>
      <c r="C101" s="8"/>
      <c r="D101" s="8"/>
      <c r="E101" s="8"/>
      <c r="F101" s="8"/>
      <c r="G101" s="8"/>
      <c r="H101" s="8"/>
      <c r="I101" s="8"/>
      <c r="J101" s="8"/>
      <c r="K101" s="88" t="s">
        <v>139</v>
      </c>
      <c r="L101" s="94"/>
      <c r="M101" s="87"/>
      <c r="N101" s="94"/>
      <c r="O101" s="94"/>
      <c r="P101" s="94"/>
      <c r="Q101" s="94"/>
      <c r="R101" s="100">
        <f>'cover sheet'!K24</f>
        <v>1</v>
      </c>
      <c r="S101" s="101">
        <f>((P11/500)+1)*R101</f>
        <v>6.9992000000000001</v>
      </c>
      <c r="T101" s="99"/>
      <c r="U101" s="8"/>
      <c r="V101" s="34"/>
      <c r="W101" s="11"/>
      <c r="X101" s="12"/>
      <c r="Y101" s="12"/>
      <c r="Z101" s="13"/>
    </row>
    <row r="102" spans="2:26" x14ac:dyDescent="0.3">
      <c r="B102" s="4" t="s">
        <v>1</v>
      </c>
      <c r="C102" s="8"/>
      <c r="D102" s="8"/>
      <c r="E102" s="8"/>
      <c r="F102" s="8"/>
      <c r="G102" s="8"/>
      <c r="H102" s="8"/>
      <c r="I102" s="8"/>
      <c r="J102" s="8"/>
      <c r="K102" s="88" t="s">
        <v>140</v>
      </c>
      <c r="L102" s="94"/>
      <c r="M102" s="87"/>
      <c r="N102" s="94"/>
      <c r="O102" s="94"/>
      <c r="P102" s="94"/>
      <c r="Q102" s="94"/>
      <c r="R102" s="94"/>
      <c r="S102" s="102">
        <f>'cover sheet'!K26</f>
        <v>0</v>
      </c>
      <c r="T102" s="99"/>
      <c r="U102" s="8"/>
      <c r="V102" s="34"/>
      <c r="W102" s="11"/>
      <c r="X102" s="12"/>
      <c r="Y102" s="12"/>
      <c r="Z102" s="13"/>
    </row>
    <row r="103" spans="2:26" x14ac:dyDescent="0.3">
      <c r="B103" s="4" t="s">
        <v>1</v>
      </c>
      <c r="C103" s="8"/>
      <c r="D103" s="8"/>
      <c r="E103" s="8"/>
      <c r="F103" s="8"/>
      <c r="G103" s="8"/>
      <c r="H103" s="8"/>
      <c r="I103" s="8"/>
      <c r="J103" s="8"/>
      <c r="K103" s="88" t="s">
        <v>141</v>
      </c>
      <c r="L103" s="94"/>
      <c r="M103" s="87"/>
      <c r="N103" s="94"/>
      <c r="O103" s="94"/>
      <c r="P103" s="94"/>
      <c r="Q103" s="94"/>
      <c r="R103" s="94"/>
      <c r="S103" s="103">
        <f>S102*S101</f>
        <v>0</v>
      </c>
      <c r="T103" s="104">
        <f>S103/P11</f>
        <v>0</v>
      </c>
      <c r="U103" s="211">
        <f>T99+T103</f>
        <v>1.1340245366048807</v>
      </c>
      <c r="V103" s="11"/>
      <c r="W103" s="11"/>
      <c r="X103" s="12"/>
      <c r="Y103" s="12"/>
    </row>
    <row r="104" spans="2:26" ht="16.2" thickBot="1" x14ac:dyDescent="0.35">
      <c r="B104" s="4" t="s">
        <v>1</v>
      </c>
      <c r="C104" s="8"/>
      <c r="D104" s="8"/>
      <c r="E104" s="8"/>
      <c r="F104" s="8"/>
      <c r="G104" s="29"/>
      <c r="H104" s="29"/>
      <c r="I104" s="29"/>
      <c r="J104" s="29"/>
      <c r="K104" s="105"/>
      <c r="L104" s="106"/>
      <c r="M104" s="107"/>
      <c r="N104" s="106"/>
      <c r="O104" s="106"/>
      <c r="P104" s="108" t="s">
        <v>142</v>
      </c>
      <c r="Q104" s="108"/>
      <c r="R104" s="108"/>
      <c r="S104" s="109"/>
      <c r="T104" s="110">
        <f>T103+T99+T98+T97+T95</f>
        <v>1.8907104280570743</v>
      </c>
      <c r="U104" s="8"/>
      <c r="V104" s="12"/>
      <c r="W104" s="11"/>
      <c r="X104" s="12"/>
      <c r="Y104" s="12"/>
    </row>
    <row r="105" spans="2:26" ht="16.2" thickTop="1" x14ac:dyDescent="0.3">
      <c r="B105" s="4" t="s">
        <v>1</v>
      </c>
      <c r="C105" s="8"/>
      <c r="D105" s="8"/>
      <c r="E105" s="8"/>
      <c r="F105" s="8"/>
      <c r="G105" s="8"/>
      <c r="H105" s="8"/>
      <c r="I105" s="9"/>
      <c r="J105" s="9"/>
      <c r="K105" s="10"/>
      <c r="L105" s="8"/>
      <c r="M105" s="9"/>
      <c r="N105" s="8"/>
      <c r="O105" s="9"/>
      <c r="P105" s="24"/>
      <c r="Q105" s="9"/>
      <c r="R105" s="8"/>
      <c r="S105" s="8"/>
      <c r="T105" s="111" t="s">
        <v>143</v>
      </c>
      <c r="U105" s="8"/>
      <c r="V105" s="12"/>
      <c r="W105" s="11"/>
      <c r="X105" s="12"/>
      <c r="Y105" s="12"/>
    </row>
    <row r="106" spans="2:26" x14ac:dyDescent="0.3">
      <c r="B106" s="112" t="s">
        <v>1</v>
      </c>
      <c r="C106" s="29"/>
      <c r="D106" s="29"/>
      <c r="E106" s="29"/>
      <c r="F106" s="29"/>
      <c r="G106" s="29"/>
      <c r="H106" s="29"/>
      <c r="I106" s="29"/>
      <c r="J106" s="29"/>
      <c r="K106" s="113"/>
      <c r="L106" s="29"/>
      <c r="M106" s="114"/>
      <c r="N106" s="29"/>
      <c r="O106" s="29"/>
      <c r="P106" s="29"/>
      <c r="Q106" s="29"/>
      <c r="R106" s="29"/>
      <c r="S106" s="29"/>
      <c r="T106" s="113"/>
      <c r="U106" s="29"/>
      <c r="V106" s="12"/>
      <c r="W106" s="115"/>
      <c r="X106" s="12"/>
      <c r="Y106" s="12"/>
    </row>
    <row r="107" spans="2:26" x14ac:dyDescent="0.3">
      <c r="B107" s="112" t="s">
        <v>1</v>
      </c>
      <c r="C107" s="29"/>
      <c r="D107" s="29"/>
      <c r="E107" s="8"/>
      <c r="F107" s="8"/>
      <c r="G107" s="8"/>
      <c r="H107" s="8"/>
      <c r="I107" s="10"/>
      <c r="J107" s="8"/>
      <c r="K107" s="9"/>
      <c r="L107" s="8"/>
      <c r="M107" s="116"/>
      <c r="N107" s="29"/>
      <c r="O107" s="29"/>
      <c r="P107" s="29"/>
      <c r="Q107" s="29"/>
      <c r="R107" s="113"/>
      <c r="S107" s="113"/>
      <c r="T107" s="29"/>
      <c r="U107" s="29"/>
      <c r="V107" s="12"/>
      <c r="W107" s="115"/>
      <c r="X107" s="115"/>
      <c r="Y107" s="115"/>
    </row>
    <row r="108" spans="2:26" x14ac:dyDescent="0.3">
      <c r="B108" s="112" t="s">
        <v>1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 t="s">
        <v>144</v>
      </c>
      <c r="N108" s="29"/>
      <c r="O108" s="29"/>
      <c r="P108" s="29"/>
      <c r="Q108" s="29"/>
      <c r="R108" s="29"/>
      <c r="S108" s="29"/>
      <c r="T108" s="117">
        <f>T104</f>
        <v>1.8907104280570743</v>
      </c>
      <c r="U108" s="29" t="s">
        <v>145</v>
      </c>
      <c r="V108" s="12"/>
      <c r="W108" s="115"/>
      <c r="X108" s="115"/>
      <c r="Y108" s="115"/>
    </row>
    <row r="109" spans="2:26" x14ac:dyDescent="0.3">
      <c r="B109" s="112" t="s">
        <v>1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118">
        <f>'cover sheet'!B37</f>
        <v>0.02</v>
      </c>
      <c r="T109" s="117">
        <f>(T108*(100%*S109))+T108</f>
        <v>1.9285246366182158</v>
      </c>
      <c r="U109" s="29" t="s">
        <v>146</v>
      </c>
      <c r="V109" s="12"/>
      <c r="W109" s="115"/>
      <c r="X109" s="115"/>
      <c r="Y109" s="115"/>
    </row>
    <row r="110" spans="2:26" x14ac:dyDescent="0.3">
      <c r="B110" s="112" t="s">
        <v>1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118">
        <f>'cover sheet'!B37</f>
        <v>0.02</v>
      </c>
      <c r="T110" s="117">
        <f>(T109*(100%*S110))+T109</f>
        <v>1.9670951293505801</v>
      </c>
      <c r="U110" s="29" t="s">
        <v>147</v>
      </c>
      <c r="V110" s="12"/>
      <c r="W110" s="115"/>
      <c r="X110" s="115"/>
      <c r="Y110" s="115"/>
    </row>
    <row r="111" spans="2:26" x14ac:dyDescent="0.3">
      <c r="B111" s="112" t="s">
        <v>1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118">
        <f>'cover sheet'!B37</f>
        <v>0.02</v>
      </c>
      <c r="T111" s="117">
        <f>(T110*(100%*S111))+T110</f>
        <v>2.0064370319375917</v>
      </c>
      <c r="U111" s="29" t="s">
        <v>148</v>
      </c>
      <c r="V111" s="12"/>
      <c r="W111" s="115"/>
      <c r="X111" s="115"/>
      <c r="Y111" s="115"/>
    </row>
    <row r="112" spans="2:26" x14ac:dyDescent="0.3">
      <c r="B112" s="112" t="s">
        <v>1</v>
      </c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119"/>
      <c r="T112" s="117"/>
      <c r="U112" s="29"/>
      <c r="V112" s="12"/>
      <c r="W112" s="29"/>
      <c r="X112" s="29"/>
      <c r="Y112" s="29"/>
    </row>
    <row r="113" spans="2:26" x14ac:dyDescent="0.3">
      <c r="B113" s="112" t="s">
        <v>1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120" t="s">
        <v>149</v>
      </c>
      <c r="T113" s="121">
        <f>AVERAGE(T108:T112)</f>
        <v>1.9481918064908657</v>
      </c>
      <c r="U113" s="122"/>
      <c r="V113" s="12"/>
      <c r="W113" s="29"/>
      <c r="X113" s="29"/>
      <c r="Y113" s="29"/>
    </row>
    <row r="114" spans="2:26" x14ac:dyDescent="0.3">
      <c r="B114" s="112" t="s">
        <v>1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123"/>
      <c r="T114" s="124"/>
      <c r="U114" s="122"/>
      <c r="V114" s="12"/>
      <c r="W114" s="29"/>
      <c r="X114" s="29"/>
      <c r="Y114" s="29"/>
    </row>
    <row r="115" spans="2:26" x14ac:dyDescent="0.3">
      <c r="B115" s="2" t="s">
        <v>1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125" t="s">
        <v>150</v>
      </c>
      <c r="T115" s="126">
        <f>P11</f>
        <v>2999.6</v>
      </c>
      <c r="U115" s="122"/>
      <c r="V115" s="35"/>
      <c r="W115" s="29"/>
      <c r="X115" s="29"/>
      <c r="Y115" s="29"/>
    </row>
    <row r="116" spans="2:26" x14ac:dyDescent="0.3">
      <c r="B116" s="112" t="s">
        <v>1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127" t="s">
        <v>151</v>
      </c>
      <c r="T116" s="128">
        <f>T115*T113</f>
        <v>5843.7961427500004</v>
      </c>
      <c r="U116" s="122"/>
      <c r="V116" s="35"/>
      <c r="W116" s="29"/>
      <c r="X116" s="29"/>
      <c r="Y116" s="29"/>
    </row>
    <row r="117" spans="2:26" x14ac:dyDescent="0.3">
      <c r="B117" s="112" t="s">
        <v>1</v>
      </c>
      <c r="C117" s="29"/>
      <c r="D117" s="29"/>
      <c r="E117" s="29" t="s">
        <v>152</v>
      </c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123"/>
      <c r="T117" s="124"/>
      <c r="U117" s="122"/>
      <c r="V117" s="35"/>
      <c r="W117" s="29"/>
      <c r="X117" s="29"/>
      <c r="Y117" s="29"/>
    </row>
    <row r="118" spans="2:26" s="131" customFormat="1" ht="17.399999999999999" x14ac:dyDescent="0.3">
      <c r="B118" s="129" t="s">
        <v>153</v>
      </c>
      <c r="C118" s="130"/>
      <c r="D118" s="130"/>
      <c r="E118" s="130" t="s">
        <v>154</v>
      </c>
      <c r="F118" s="130"/>
      <c r="G118" s="130" t="s">
        <v>155</v>
      </c>
      <c r="H118" s="130"/>
      <c r="I118" s="130" t="s">
        <v>156</v>
      </c>
      <c r="J118" s="130">
        <v>500</v>
      </c>
      <c r="K118" s="130">
        <v>1000</v>
      </c>
      <c r="L118" s="130">
        <v>2000</v>
      </c>
      <c r="M118" s="130">
        <v>4000</v>
      </c>
      <c r="N118" s="130">
        <v>4500</v>
      </c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3"/>
    </row>
    <row r="119" spans="2:26" x14ac:dyDescent="0.3">
      <c r="B119" s="132" t="s">
        <v>157</v>
      </c>
      <c r="C119" s="29" t="s">
        <v>158</v>
      </c>
      <c r="D119" s="29">
        <v>1</v>
      </c>
      <c r="E119" s="133">
        <v>181.58</v>
      </c>
      <c r="F119" s="133"/>
      <c r="G119" s="133">
        <f t="shared" ref="G119:G139" si="28">D119*E119</f>
        <v>181.58</v>
      </c>
      <c r="H119" s="133"/>
      <c r="I119" s="134">
        <f>+$G119</f>
        <v>181.58</v>
      </c>
      <c r="J119" s="134"/>
      <c r="K119" s="134"/>
      <c r="L119" s="134">
        <f t="shared" ref="L119:L122" si="29">+$G119</f>
        <v>181.58</v>
      </c>
      <c r="M119" s="134"/>
      <c r="N119" s="134"/>
      <c r="O119" s="29"/>
      <c r="P119" s="29"/>
      <c r="Q119" s="29"/>
      <c r="R119" s="29"/>
      <c r="S119" s="29"/>
      <c r="T119" s="29"/>
    </row>
    <row r="120" spans="2:26" x14ac:dyDescent="0.3">
      <c r="B120" s="132" t="s">
        <v>159</v>
      </c>
      <c r="C120" s="29" t="s">
        <v>160</v>
      </c>
      <c r="D120" s="29">
        <v>1</v>
      </c>
      <c r="E120" s="133">
        <v>35.229999999999997</v>
      </c>
      <c r="F120" s="133"/>
      <c r="G120" s="133">
        <f t="shared" si="28"/>
        <v>35.229999999999997</v>
      </c>
      <c r="H120" s="133"/>
      <c r="I120" s="134">
        <f t="shared" ref="I120:K125" si="30">+$G120</f>
        <v>35.229999999999997</v>
      </c>
      <c r="J120" s="134"/>
      <c r="K120" s="134"/>
      <c r="L120" s="134">
        <f t="shared" si="29"/>
        <v>35.229999999999997</v>
      </c>
      <c r="M120" s="134"/>
      <c r="N120" s="134"/>
      <c r="O120" s="29"/>
      <c r="P120" s="29"/>
      <c r="Q120" s="29"/>
      <c r="R120" s="29"/>
      <c r="S120" s="29"/>
      <c r="T120" s="29"/>
    </row>
    <row r="121" spans="2:26" x14ac:dyDescent="0.3">
      <c r="B121" s="132" t="s">
        <v>200</v>
      </c>
      <c r="C121" s="29" t="s">
        <v>161</v>
      </c>
      <c r="D121" s="29">
        <v>1</v>
      </c>
      <c r="E121" s="133">
        <v>93.68</v>
      </c>
      <c r="F121" s="133"/>
      <c r="G121" s="133">
        <f t="shared" si="28"/>
        <v>93.68</v>
      </c>
      <c r="H121" s="133"/>
      <c r="I121" s="134"/>
      <c r="J121" s="134"/>
      <c r="K121" s="134">
        <f t="shared" si="30"/>
        <v>93.68</v>
      </c>
      <c r="L121" s="134"/>
      <c r="M121" s="134"/>
      <c r="N121" s="134"/>
      <c r="O121" s="29"/>
      <c r="P121" s="29"/>
      <c r="Q121" s="29"/>
      <c r="R121" s="29"/>
      <c r="S121" s="29"/>
      <c r="T121" s="29"/>
    </row>
    <row r="122" spans="2:26" x14ac:dyDescent="0.3">
      <c r="B122" s="132" t="s">
        <v>162</v>
      </c>
      <c r="C122" s="29" t="s">
        <v>163</v>
      </c>
      <c r="D122" s="29">
        <v>1</v>
      </c>
      <c r="E122" s="133">
        <v>181.58</v>
      </c>
      <c r="F122" s="133"/>
      <c r="G122" s="133">
        <f t="shared" si="28"/>
        <v>181.58</v>
      </c>
      <c r="H122" s="133"/>
      <c r="I122" s="134">
        <f t="shared" si="30"/>
        <v>181.58</v>
      </c>
      <c r="J122" s="134"/>
      <c r="K122" s="134"/>
      <c r="L122" s="134">
        <f t="shared" si="29"/>
        <v>181.58</v>
      </c>
      <c r="M122" s="134"/>
      <c r="N122" s="134"/>
      <c r="O122" s="29"/>
      <c r="P122" s="29"/>
      <c r="Q122" s="29"/>
      <c r="R122" s="29"/>
      <c r="S122" s="29"/>
      <c r="T122" s="29"/>
    </row>
    <row r="123" spans="2:26" x14ac:dyDescent="0.3">
      <c r="B123" s="132" t="s">
        <v>164</v>
      </c>
      <c r="C123" s="29" t="s">
        <v>165</v>
      </c>
      <c r="D123" s="29">
        <v>1</v>
      </c>
      <c r="E123" s="133">
        <v>13.93</v>
      </c>
      <c r="F123" s="133"/>
      <c r="G123" s="133">
        <f t="shared" si="28"/>
        <v>13.93</v>
      </c>
      <c r="H123" s="133"/>
      <c r="I123" s="134"/>
      <c r="J123" s="134">
        <f t="shared" si="30"/>
        <v>13.93</v>
      </c>
      <c r="K123" s="134"/>
      <c r="L123" s="134"/>
      <c r="M123" s="134"/>
      <c r="N123" s="134"/>
      <c r="O123" s="29"/>
      <c r="P123" s="29"/>
      <c r="Q123" s="29"/>
      <c r="R123" s="29"/>
      <c r="S123" s="29"/>
      <c r="T123" s="29"/>
    </row>
    <row r="124" spans="2:26" x14ac:dyDescent="0.3">
      <c r="B124" s="132" t="s">
        <v>166</v>
      </c>
      <c r="C124" s="29" t="s">
        <v>167</v>
      </c>
      <c r="D124" s="29">
        <v>1</v>
      </c>
      <c r="E124" s="133">
        <v>70.8</v>
      </c>
      <c r="F124" s="133"/>
      <c r="G124" s="133">
        <f t="shared" si="28"/>
        <v>70.8</v>
      </c>
      <c r="H124" s="133"/>
      <c r="I124" s="134"/>
      <c r="J124" s="134">
        <f t="shared" si="30"/>
        <v>70.8</v>
      </c>
      <c r="K124" s="134"/>
      <c r="L124" s="134"/>
      <c r="M124" s="134"/>
      <c r="N124" s="134"/>
      <c r="O124" s="29"/>
      <c r="P124" s="29"/>
      <c r="Q124" s="29"/>
      <c r="R124" s="29"/>
      <c r="S124" s="29"/>
      <c r="T124" s="29"/>
    </row>
    <row r="125" spans="2:26" x14ac:dyDescent="0.3">
      <c r="B125" s="132" t="s">
        <v>201</v>
      </c>
      <c r="C125" s="29" t="s">
        <v>168</v>
      </c>
      <c r="D125" s="29">
        <v>1</v>
      </c>
      <c r="E125" s="133">
        <v>135.15</v>
      </c>
      <c r="F125" s="133"/>
      <c r="G125" s="133">
        <f t="shared" si="28"/>
        <v>135.15</v>
      </c>
      <c r="H125" s="133"/>
      <c r="I125" s="134"/>
      <c r="J125" s="134">
        <f t="shared" si="30"/>
        <v>135.15</v>
      </c>
      <c r="K125" s="134"/>
      <c r="L125" s="134"/>
      <c r="M125" s="134"/>
      <c r="N125" s="134"/>
      <c r="O125" s="29"/>
      <c r="P125" s="29"/>
      <c r="Q125" s="29"/>
      <c r="R125" s="29"/>
      <c r="S125" s="29"/>
      <c r="T125" s="29"/>
    </row>
    <row r="126" spans="2:26" x14ac:dyDescent="0.3">
      <c r="B126" s="132" t="s">
        <v>169</v>
      </c>
      <c r="C126" s="29" t="s">
        <v>170</v>
      </c>
      <c r="D126" s="29">
        <v>1</v>
      </c>
      <c r="E126" s="133">
        <v>114.37</v>
      </c>
      <c r="F126" s="133"/>
      <c r="G126" s="133">
        <f t="shared" si="28"/>
        <v>114.37</v>
      </c>
      <c r="H126" s="133"/>
      <c r="I126" s="134"/>
      <c r="J126" s="134"/>
      <c r="K126" s="134"/>
      <c r="L126" s="134">
        <f t="shared" ref="K126:L133" si="31">+$G126</f>
        <v>114.37</v>
      </c>
      <c r="M126" s="134"/>
      <c r="N126" s="134"/>
      <c r="O126" s="29"/>
      <c r="P126" s="29"/>
      <c r="Q126" s="29"/>
      <c r="R126" s="29"/>
      <c r="S126" s="29"/>
      <c r="T126" s="29"/>
    </row>
    <row r="127" spans="2:26" x14ac:dyDescent="0.3">
      <c r="B127" s="132" t="s">
        <v>171</v>
      </c>
      <c r="C127" s="29" t="s">
        <v>172</v>
      </c>
      <c r="D127" s="29">
        <v>1</v>
      </c>
      <c r="E127" s="133">
        <v>84.38</v>
      </c>
      <c r="F127" s="133"/>
      <c r="G127" s="133">
        <f>D127*E127</f>
        <v>84.38</v>
      </c>
      <c r="H127" s="133"/>
      <c r="I127" s="134">
        <f t="shared" ref="I127" si="32">+$G127</f>
        <v>84.38</v>
      </c>
      <c r="J127" s="134"/>
      <c r="K127" s="134"/>
      <c r="L127" s="134">
        <f t="shared" si="31"/>
        <v>84.38</v>
      </c>
      <c r="M127" s="134"/>
      <c r="N127" s="134"/>
      <c r="O127" s="29"/>
      <c r="P127" s="29"/>
      <c r="Q127" s="29"/>
      <c r="R127" s="29"/>
      <c r="S127" s="29"/>
      <c r="T127" s="29"/>
    </row>
    <row r="128" spans="2:26" x14ac:dyDescent="0.3">
      <c r="B128" s="132" t="s">
        <v>212</v>
      </c>
      <c r="C128" s="29" t="s">
        <v>210</v>
      </c>
      <c r="D128" s="29">
        <v>1</v>
      </c>
      <c r="E128" s="133">
        <v>182.84</v>
      </c>
      <c r="F128" s="133"/>
      <c r="G128" s="133">
        <f>D128*E128</f>
        <v>182.84</v>
      </c>
      <c r="H128" s="133"/>
      <c r="I128" s="134"/>
      <c r="J128" s="134"/>
      <c r="K128" s="134"/>
      <c r="L128" s="134"/>
      <c r="M128" s="134"/>
      <c r="N128" s="134">
        <f>+G128</f>
        <v>182.84</v>
      </c>
      <c r="O128" s="29"/>
      <c r="P128" s="29"/>
      <c r="Q128" s="29"/>
      <c r="R128" s="29"/>
      <c r="S128" s="29"/>
      <c r="T128" s="29"/>
    </row>
    <row r="129" spans="2:20" x14ac:dyDescent="0.3">
      <c r="B129" s="132" t="s">
        <v>255</v>
      </c>
      <c r="C129" s="29" t="s">
        <v>211</v>
      </c>
      <c r="D129" s="29">
        <v>1</v>
      </c>
      <c r="E129" s="133">
        <v>311.52999999999997</v>
      </c>
      <c r="F129" s="133"/>
      <c r="G129" s="133">
        <f>D129*E129</f>
        <v>311.52999999999997</v>
      </c>
      <c r="H129" s="133"/>
      <c r="I129" s="134"/>
      <c r="J129" s="134"/>
      <c r="K129" s="134"/>
      <c r="L129" s="134">
        <f>+E129</f>
        <v>311.52999999999997</v>
      </c>
      <c r="M129" s="134"/>
      <c r="N129" s="134"/>
      <c r="O129" s="29"/>
      <c r="P129" s="29"/>
      <c r="Q129" s="29"/>
      <c r="R129" s="29"/>
      <c r="S129" s="29"/>
      <c r="T129" s="29"/>
    </row>
    <row r="130" spans="2:20" x14ac:dyDescent="0.3">
      <c r="B130" s="132" t="s">
        <v>173</v>
      </c>
      <c r="C130" s="29" t="s">
        <v>174</v>
      </c>
      <c r="D130" s="29">
        <v>1</v>
      </c>
      <c r="E130" s="133">
        <v>30.1</v>
      </c>
      <c r="F130" s="133"/>
      <c r="G130" s="133">
        <f t="shared" si="28"/>
        <v>30.1</v>
      </c>
      <c r="H130" s="133"/>
      <c r="I130" s="134"/>
      <c r="J130" s="134"/>
      <c r="K130" s="134">
        <f t="shared" si="31"/>
        <v>30.1</v>
      </c>
      <c r="L130" s="134"/>
      <c r="M130" s="134"/>
      <c r="N130" s="134"/>
      <c r="O130" s="29"/>
      <c r="P130" s="29"/>
      <c r="Q130" s="29"/>
      <c r="R130" s="29"/>
      <c r="S130" s="29"/>
      <c r="T130" s="29"/>
    </row>
    <row r="131" spans="2:20" x14ac:dyDescent="0.3">
      <c r="B131" s="132" t="s">
        <v>175</v>
      </c>
      <c r="C131" s="29" t="s">
        <v>176</v>
      </c>
      <c r="D131" s="29">
        <v>1</v>
      </c>
      <c r="E131" s="133">
        <v>6.51</v>
      </c>
      <c r="F131" s="133"/>
      <c r="G131" s="133">
        <f t="shared" si="28"/>
        <v>6.51</v>
      </c>
      <c r="H131" s="133"/>
      <c r="I131" s="134"/>
      <c r="J131" s="134"/>
      <c r="K131" s="134">
        <f t="shared" si="31"/>
        <v>6.51</v>
      </c>
      <c r="L131" s="134"/>
      <c r="M131" s="134"/>
      <c r="N131" s="134"/>
      <c r="O131" s="29"/>
      <c r="P131" s="29"/>
      <c r="Q131" s="29"/>
      <c r="R131" s="29"/>
      <c r="S131" s="29"/>
      <c r="T131" s="29"/>
    </row>
    <row r="132" spans="2:20" x14ac:dyDescent="0.3">
      <c r="B132" s="132" t="s">
        <v>202</v>
      </c>
      <c r="C132" s="29" t="s">
        <v>177</v>
      </c>
      <c r="D132" s="29">
        <v>1</v>
      </c>
      <c r="E132" s="133">
        <v>93.42</v>
      </c>
      <c r="F132" s="133"/>
      <c r="G132" s="133">
        <f t="shared" si="28"/>
        <v>93.42</v>
      </c>
      <c r="H132" s="133"/>
      <c r="I132" s="134"/>
      <c r="J132" s="134"/>
      <c r="K132" s="134">
        <f t="shared" si="31"/>
        <v>93.42</v>
      </c>
      <c r="L132" s="134"/>
      <c r="M132" s="134"/>
      <c r="N132" s="134"/>
      <c r="O132" s="29"/>
      <c r="P132" s="29"/>
      <c r="Q132" s="29"/>
      <c r="R132" s="29"/>
      <c r="S132" s="29"/>
      <c r="T132" s="29"/>
    </row>
    <row r="133" spans="2:20" x14ac:dyDescent="0.3">
      <c r="B133" s="132" t="s">
        <v>203</v>
      </c>
      <c r="C133" s="29" t="s">
        <v>178</v>
      </c>
      <c r="D133" s="29">
        <v>1</v>
      </c>
      <c r="E133" s="133">
        <v>231.68</v>
      </c>
      <c r="F133" s="133"/>
      <c r="G133" s="133">
        <f t="shared" si="28"/>
        <v>231.68</v>
      </c>
      <c r="H133" s="133"/>
      <c r="I133" s="134"/>
      <c r="J133" s="134"/>
      <c r="K133" s="134">
        <f t="shared" si="31"/>
        <v>231.68</v>
      </c>
      <c r="L133" s="134"/>
      <c r="M133" s="134"/>
      <c r="N133" s="134"/>
      <c r="O133" s="29"/>
      <c r="P133" s="29"/>
      <c r="Q133" s="29"/>
      <c r="R133" s="29"/>
      <c r="S133" s="29"/>
      <c r="T133" s="29"/>
    </row>
    <row r="134" spans="2:20" x14ac:dyDescent="0.3">
      <c r="B134" s="132" t="s">
        <v>179</v>
      </c>
      <c r="C134" s="29" t="s">
        <v>180</v>
      </c>
      <c r="D134" s="29">
        <v>1</v>
      </c>
      <c r="E134" s="133">
        <v>92.92</v>
      </c>
      <c r="F134" s="133"/>
      <c r="G134" s="133">
        <f t="shared" si="28"/>
        <v>92.92</v>
      </c>
      <c r="H134" s="133"/>
      <c r="I134" s="134"/>
      <c r="J134" s="134"/>
      <c r="K134" s="134"/>
      <c r="L134" s="134"/>
      <c r="M134" s="134">
        <f t="shared" ref="M134" si="33">+$G134</f>
        <v>92.92</v>
      </c>
      <c r="N134" s="134"/>
      <c r="O134" s="29"/>
      <c r="P134" s="29"/>
      <c r="Q134" s="29"/>
      <c r="R134" s="29"/>
      <c r="S134" s="29"/>
      <c r="T134" s="29"/>
    </row>
    <row r="135" spans="2:20" x14ac:dyDescent="0.3">
      <c r="B135" s="135" t="s">
        <v>213</v>
      </c>
      <c r="C135" s="29" t="s">
        <v>181</v>
      </c>
      <c r="D135" s="47">
        <v>69</v>
      </c>
      <c r="E135" s="133">
        <f>'cover sheet'!K31</f>
        <v>0</v>
      </c>
      <c r="F135" s="133"/>
      <c r="G135" s="133">
        <f t="shared" si="28"/>
        <v>0</v>
      </c>
      <c r="H135" s="133"/>
      <c r="I135" s="134"/>
      <c r="J135" s="134"/>
      <c r="K135" s="134"/>
      <c r="L135" s="134"/>
      <c r="M135" s="134">
        <f>+G135</f>
        <v>0</v>
      </c>
      <c r="N135" s="134"/>
      <c r="O135" s="29"/>
      <c r="P135" s="29"/>
      <c r="Q135" s="29"/>
      <c r="R135" s="29"/>
      <c r="S135" s="29"/>
      <c r="T135" s="29"/>
    </row>
    <row r="136" spans="2:20" x14ac:dyDescent="0.3">
      <c r="B136" s="135" t="s">
        <v>242</v>
      </c>
      <c r="C136" s="29" t="s">
        <v>182</v>
      </c>
      <c r="D136" s="47">
        <v>9</v>
      </c>
      <c r="E136" s="133">
        <f>'cover sheet'!K35</f>
        <v>0</v>
      </c>
      <c r="F136" s="133"/>
      <c r="G136" s="133">
        <f t="shared" si="28"/>
        <v>0</v>
      </c>
      <c r="H136" s="133"/>
      <c r="I136" s="134">
        <f t="shared" ref="I136:K138" si="34">+$G136</f>
        <v>0</v>
      </c>
      <c r="J136" s="134"/>
      <c r="K136" s="134">
        <f t="shared" si="34"/>
        <v>0</v>
      </c>
      <c r="L136" s="134"/>
      <c r="M136" s="134"/>
      <c r="N136" s="134"/>
      <c r="O136" s="29"/>
      <c r="P136" s="29"/>
      <c r="Q136" s="29"/>
      <c r="R136" s="29"/>
      <c r="S136" s="29"/>
      <c r="T136" s="29"/>
    </row>
    <row r="137" spans="2:20" x14ac:dyDescent="0.3">
      <c r="B137" s="135" t="s">
        <v>241</v>
      </c>
      <c r="C137" s="29" t="s">
        <v>183</v>
      </c>
      <c r="D137" s="47">
        <v>5</v>
      </c>
      <c r="E137" s="133">
        <f>'cover sheet'!K37</f>
        <v>0</v>
      </c>
      <c r="F137" s="133"/>
      <c r="G137" s="133">
        <f t="shared" si="28"/>
        <v>0</v>
      </c>
      <c r="H137" s="133"/>
      <c r="I137" s="134">
        <f t="shared" si="34"/>
        <v>0</v>
      </c>
      <c r="J137" s="134">
        <f t="shared" si="34"/>
        <v>0</v>
      </c>
      <c r="K137" s="134"/>
      <c r="L137" s="134"/>
      <c r="M137" s="134"/>
      <c r="N137" s="134"/>
      <c r="O137" s="29"/>
      <c r="P137" s="29"/>
      <c r="Q137" s="29"/>
      <c r="R137" s="29"/>
      <c r="S137" s="29"/>
      <c r="T137" s="29"/>
    </row>
    <row r="138" spans="2:20" x14ac:dyDescent="0.3">
      <c r="B138" s="135" t="s">
        <v>240</v>
      </c>
      <c r="C138" s="29" t="s">
        <v>184</v>
      </c>
      <c r="D138" s="47">
        <v>1</v>
      </c>
      <c r="E138" s="133">
        <f>'cover sheet'!K33</f>
        <v>0</v>
      </c>
      <c r="F138" s="133"/>
      <c r="G138" s="133">
        <f t="shared" si="28"/>
        <v>0</v>
      </c>
      <c r="H138" s="133"/>
      <c r="I138" s="134">
        <f t="shared" si="34"/>
        <v>0</v>
      </c>
      <c r="J138" s="134"/>
      <c r="K138" s="134">
        <f t="shared" si="34"/>
        <v>0</v>
      </c>
      <c r="L138" s="134"/>
      <c r="M138" s="134"/>
      <c r="N138" s="134"/>
      <c r="O138" s="29"/>
      <c r="P138" s="29"/>
      <c r="Q138" s="29"/>
      <c r="R138" s="29"/>
      <c r="S138" s="29"/>
      <c r="T138" s="29"/>
    </row>
    <row r="139" spans="2:20" x14ac:dyDescent="0.3">
      <c r="B139" s="135" t="s">
        <v>185</v>
      </c>
      <c r="C139" s="29" t="s">
        <v>186</v>
      </c>
      <c r="D139" s="47">
        <v>13</v>
      </c>
      <c r="E139" s="133">
        <f>'cover sheet'!K39</f>
        <v>0</v>
      </c>
      <c r="F139" s="133"/>
      <c r="G139" s="133">
        <f t="shared" si="28"/>
        <v>0</v>
      </c>
      <c r="H139" s="133"/>
      <c r="I139" s="134"/>
      <c r="J139" s="134"/>
      <c r="K139" s="134"/>
      <c r="L139" s="134">
        <f t="shared" ref="L139" si="35">+$G139</f>
        <v>0</v>
      </c>
      <c r="M139" s="134"/>
      <c r="N139" s="134"/>
      <c r="O139" s="29"/>
      <c r="P139" s="29"/>
      <c r="Q139" s="29"/>
      <c r="R139" s="29"/>
      <c r="S139" s="29"/>
      <c r="T139" s="29"/>
    </row>
    <row r="140" spans="2:20" x14ac:dyDescent="0.3">
      <c r="B140" s="2" t="s">
        <v>1</v>
      </c>
      <c r="D140" s="136" t="s">
        <v>187</v>
      </c>
      <c r="O140" s="29"/>
      <c r="P140" s="29"/>
      <c r="Q140" s="29"/>
      <c r="R140" s="29"/>
      <c r="S140" s="29"/>
      <c r="T140" s="29"/>
    </row>
    <row r="141" spans="2:20" x14ac:dyDescent="0.3">
      <c r="B141" s="137" t="s">
        <v>188</v>
      </c>
      <c r="C141" s="130"/>
      <c r="D141" s="130"/>
      <c r="E141" s="130"/>
      <c r="F141" s="130"/>
      <c r="G141" s="130"/>
      <c r="H141" s="130"/>
      <c r="I141" s="138">
        <f t="shared" ref="I141:N141" si="36">SUM(I119:I139)</f>
        <v>482.77</v>
      </c>
      <c r="J141" s="138">
        <f t="shared" si="36"/>
        <v>219.88</v>
      </c>
      <c r="K141" s="138">
        <f t="shared" si="36"/>
        <v>455.39</v>
      </c>
      <c r="L141" s="138">
        <f t="shared" si="36"/>
        <v>908.67</v>
      </c>
      <c r="M141" s="138">
        <f t="shared" si="36"/>
        <v>92.92</v>
      </c>
      <c r="N141" s="138">
        <f t="shared" si="36"/>
        <v>182.84</v>
      </c>
      <c r="O141" s="29"/>
      <c r="P141" s="29"/>
      <c r="Q141" s="29"/>
      <c r="R141" s="29"/>
      <c r="S141" s="29"/>
      <c r="T141" s="29"/>
    </row>
    <row r="142" spans="2:20" x14ac:dyDescent="0.3">
      <c r="B142" s="135" t="s">
        <v>189</v>
      </c>
      <c r="C142" s="29"/>
      <c r="D142" s="29"/>
      <c r="E142" s="29"/>
      <c r="F142" s="29"/>
      <c r="G142" s="29"/>
      <c r="H142" s="29"/>
      <c r="I142" s="133">
        <v>5</v>
      </c>
      <c r="J142" s="133">
        <v>2</v>
      </c>
      <c r="K142" s="133">
        <v>4</v>
      </c>
      <c r="L142" s="133">
        <v>2</v>
      </c>
      <c r="M142" s="133">
        <v>2</v>
      </c>
      <c r="N142" s="133">
        <v>3</v>
      </c>
      <c r="O142" s="29"/>
      <c r="P142" s="130"/>
      <c r="Q142" s="29"/>
      <c r="R142" s="130"/>
      <c r="S142" s="130"/>
      <c r="T142" s="139"/>
    </row>
    <row r="143" spans="2:20" x14ac:dyDescent="0.3">
      <c r="B143" s="112" t="s">
        <v>190</v>
      </c>
      <c r="C143" s="29"/>
      <c r="D143" s="29"/>
      <c r="E143" s="29"/>
      <c r="F143" s="29"/>
      <c r="G143" s="140">
        <f>'cover sheet'!B31</f>
        <v>0</v>
      </c>
      <c r="H143" s="29"/>
      <c r="I143" s="141">
        <f>G143*I142</f>
        <v>0</v>
      </c>
      <c r="J143" s="141">
        <f>G143*J142</f>
        <v>0</v>
      </c>
      <c r="K143" s="141">
        <f>G143*K142</f>
        <v>0</v>
      </c>
      <c r="L143" s="141">
        <f>G143*L142</f>
        <v>0</v>
      </c>
      <c r="M143" s="141">
        <f>G143*M142</f>
        <v>0</v>
      </c>
      <c r="N143" s="141">
        <f>G143*N142</f>
        <v>0</v>
      </c>
      <c r="O143" s="29"/>
      <c r="P143" s="141"/>
      <c r="Q143" s="29"/>
      <c r="R143" s="29"/>
      <c r="S143" s="141"/>
      <c r="T143" s="29"/>
    </row>
    <row r="144" spans="2:20" x14ac:dyDescent="0.3">
      <c r="B144" s="112" t="s">
        <v>191</v>
      </c>
      <c r="C144" s="29"/>
      <c r="D144" s="29"/>
      <c r="E144" s="29"/>
      <c r="F144" s="29"/>
      <c r="G144" s="140"/>
      <c r="H144" s="29"/>
      <c r="I144" s="142"/>
      <c r="J144" s="133"/>
      <c r="K144" s="142"/>
      <c r="L144" s="133"/>
      <c r="M144" s="142">
        <f>'cover sheet'!B35</f>
        <v>0</v>
      </c>
      <c r="N144" s="133"/>
      <c r="O144" s="29"/>
      <c r="P144" s="141"/>
      <c r="Q144" s="29"/>
      <c r="R144" s="29"/>
      <c r="S144" s="141"/>
      <c r="T144" s="29"/>
    </row>
    <row r="145" spans="2:21" ht="16.2" thickBot="1" x14ac:dyDescent="0.35">
      <c r="B145" s="143" t="s">
        <v>192</v>
      </c>
      <c r="C145" s="144"/>
      <c r="D145" s="144"/>
      <c r="E145" s="144"/>
      <c r="F145" s="144"/>
      <c r="G145" s="145"/>
      <c r="H145" s="144"/>
      <c r="I145" s="146"/>
      <c r="J145" s="147"/>
      <c r="K145" s="146"/>
      <c r="L145" s="147"/>
      <c r="M145" s="146"/>
      <c r="N145" s="147"/>
      <c r="O145" s="144"/>
      <c r="P145" s="148"/>
      <c r="Q145" s="144"/>
      <c r="R145" s="144"/>
      <c r="S145" s="148"/>
    </row>
    <row r="146" spans="2:21" ht="16.2" thickTop="1" x14ac:dyDescent="0.3">
      <c r="B146" s="149" t="s">
        <v>193</v>
      </c>
      <c r="C146" s="29"/>
      <c r="D146" s="29"/>
      <c r="E146" s="29"/>
      <c r="F146" s="29"/>
      <c r="G146" s="29"/>
      <c r="H146" s="29"/>
      <c r="I146" s="150">
        <f t="shared" ref="I146:N146" si="37">I141+I143+I144+I145</f>
        <v>482.77</v>
      </c>
      <c r="J146" s="150">
        <f t="shared" si="37"/>
        <v>219.88</v>
      </c>
      <c r="K146" s="150">
        <f t="shared" si="37"/>
        <v>455.39</v>
      </c>
      <c r="L146" s="150">
        <f t="shared" si="37"/>
        <v>908.67</v>
      </c>
      <c r="M146" s="150">
        <f t="shared" si="37"/>
        <v>92.92</v>
      </c>
      <c r="N146" s="150">
        <f t="shared" si="37"/>
        <v>182.84</v>
      </c>
      <c r="O146" s="29"/>
      <c r="P146" s="141"/>
      <c r="Q146" s="29"/>
      <c r="R146" s="29"/>
      <c r="S146" s="141"/>
    </row>
    <row r="147" spans="2:21" x14ac:dyDescent="0.3">
      <c r="B147" s="149" t="s">
        <v>194</v>
      </c>
      <c r="C147" s="29"/>
      <c r="D147" s="29"/>
      <c r="E147" s="29"/>
      <c r="F147" s="29"/>
      <c r="G147" s="29"/>
      <c r="H147" s="29"/>
      <c r="I147" s="150">
        <f>1*I146</f>
        <v>482.77</v>
      </c>
      <c r="J147" s="151">
        <f>ROUNDDOWN(($P$11/J118), 0)*J146</f>
        <v>1099.4000000000001</v>
      </c>
      <c r="K147" s="151">
        <f>ROUNDDOWN(($P$11/K118), 0)*K146</f>
        <v>910.78</v>
      </c>
      <c r="L147" s="151">
        <f>ROUNDDOWN(($P$11/L118), 0)*L146</f>
        <v>908.67</v>
      </c>
      <c r="M147" s="151">
        <f>ROUNDDOWN(($P$11/M118), 0)*M146</f>
        <v>0</v>
      </c>
      <c r="N147" s="151">
        <f>ROUNDDOWN(($P$11/N118), 0)*N146</f>
        <v>0</v>
      </c>
      <c r="O147" s="29"/>
      <c r="P147" s="141"/>
      <c r="Q147" s="29"/>
      <c r="R147" s="29"/>
      <c r="S147" s="141"/>
    </row>
    <row r="148" spans="2:21" x14ac:dyDescent="0.3">
      <c r="B148" s="152" t="s">
        <v>195</v>
      </c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4">
        <f>(I147+J147+K147+L147+M147+N147)/$P$11</f>
        <v>1.1340245366048807</v>
      </c>
    </row>
    <row r="149" spans="2:21" x14ac:dyDescent="0.3">
      <c r="J149" s="151"/>
      <c r="K149" s="151"/>
      <c r="L149" s="151"/>
      <c r="M149" s="151"/>
      <c r="N149" s="151"/>
      <c r="S149" s="151"/>
      <c r="T149" s="151"/>
      <c r="U149" s="151"/>
    </row>
    <row r="150" spans="2:21" x14ac:dyDescent="0.3">
      <c r="J150" s="151"/>
      <c r="K150" s="151"/>
      <c r="L150" s="151"/>
      <c r="M150" s="151"/>
      <c r="N150" s="151"/>
      <c r="S150" s="151"/>
      <c r="T150" s="151"/>
    </row>
    <row r="151" spans="2:21" x14ac:dyDescent="0.3">
      <c r="N151" s="151"/>
    </row>
    <row r="153" spans="2:21" x14ac:dyDescent="0.3">
      <c r="J153" s="151"/>
      <c r="K153" s="151"/>
      <c r="L153" s="151"/>
      <c r="M153" s="151"/>
    </row>
    <row r="156" spans="2:21" x14ac:dyDescent="0.3">
      <c r="J156" s="151"/>
      <c r="K156" s="151"/>
      <c r="L156" s="151"/>
      <c r="M156" s="151"/>
      <c r="N156" s="151"/>
      <c r="S156" s="151"/>
      <c r="T156" s="151"/>
    </row>
    <row r="157" spans="2:21" x14ac:dyDescent="0.3">
      <c r="J157" s="151"/>
      <c r="K157" s="151"/>
      <c r="L157" s="151"/>
      <c r="M157" s="151"/>
      <c r="N157" s="151"/>
    </row>
    <row r="159" spans="2:21" x14ac:dyDescent="0.3">
      <c r="J159" s="151"/>
      <c r="K159" s="151"/>
      <c r="L159" s="151"/>
      <c r="M159" s="151"/>
      <c r="N159" s="151"/>
    </row>
  </sheetData>
  <sheetProtection algorithmName="SHA-512" hashValue="TXd2jbPQVW4Kmko0T5CXFVtu/ikrdnKGpkRsKgrwttwD4b/GKWXsEbFxT4eqMWBO0iYSHsLifqMQaxqKQFHDtA==" saltValue="CunZkM28lxq0Y0X71vitbg==" spinCount="100000" sheet="1" objects="1" scenarios="1"/>
  <mergeCells count="1">
    <mergeCell ref="B32:C32"/>
  </mergeCells>
  <pageMargins left="0.25" right="0.25" top="0.75" bottom="0.75" header="0.3" footer="0.3"/>
  <pageSetup scale="3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821M T4F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Smith</dc:creator>
  <cp:lastModifiedBy>Eddie Smith</cp:lastModifiedBy>
  <dcterms:created xsi:type="dcterms:W3CDTF">2015-04-09T18:36:02Z</dcterms:created>
  <dcterms:modified xsi:type="dcterms:W3CDTF">2020-02-13T14:41:42Z</dcterms:modified>
</cp:coreProperties>
</file>